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" sheetId="4" r:id="rId1"/>
    <sheet name="2" sheetId="5" r:id="rId2"/>
    <sheet name="3" sheetId="6" r:id="rId3"/>
    <sheet name="Лист1" sheetId="1" r:id="rId4"/>
    <sheet name="Лист2" sheetId="2" r:id="rId5"/>
    <sheet name="Лист3" sheetId="3" r:id="rId6"/>
  </sheets>
  <definedNames>
    <definedName name="_xlnm.Print_Titles" localSheetId="0">'1'!$4:$5</definedName>
    <definedName name="_xlnm.Print_Titles" localSheetId="1">'2'!$5:$5</definedName>
    <definedName name="_xlnm.Print_Titles" localSheetId="2">'3'!$6:$6</definedName>
    <definedName name="_xlnm.Print_Area" localSheetId="2">'3'!$6:$6</definedName>
  </definedNames>
  <calcPr calcId="162913"/>
</workbook>
</file>

<file path=xl/calcChain.xml><?xml version="1.0" encoding="utf-8"?>
<calcChain xmlns="http://schemas.openxmlformats.org/spreadsheetml/2006/main">
  <c r="M299" i="6" l="1"/>
  <c r="M298" i="6"/>
  <c r="R297" i="6"/>
  <c r="Q297" i="6"/>
  <c r="J297" i="6"/>
  <c r="P297" i="6" s="1"/>
  <c r="I297" i="6"/>
  <c r="J296" i="6"/>
  <c r="I296" i="6"/>
  <c r="H296" i="6"/>
  <c r="R296" i="6" s="1"/>
  <c r="G296" i="6"/>
  <c r="J295" i="6"/>
  <c r="H295" i="6"/>
  <c r="G295" i="6"/>
  <c r="M294" i="6"/>
  <c r="M293" i="6"/>
  <c r="R292" i="6"/>
  <c r="Q292" i="6"/>
  <c r="O292" i="6"/>
  <c r="J292" i="6"/>
  <c r="P292" i="6" s="1"/>
  <c r="I292" i="6"/>
  <c r="M292" i="6" s="1"/>
  <c r="J291" i="6"/>
  <c r="I291" i="6"/>
  <c r="M291" i="6" s="1"/>
  <c r="H291" i="6"/>
  <c r="G291" i="6"/>
  <c r="J290" i="6"/>
  <c r="I290" i="6"/>
  <c r="M290" i="6" s="1"/>
  <c r="G290" i="6"/>
  <c r="J289" i="6"/>
  <c r="J288" i="6" s="1"/>
  <c r="J281" i="6" s="1"/>
  <c r="J280" i="6" s="1"/>
  <c r="G289" i="6"/>
  <c r="G288" i="6"/>
  <c r="R287" i="6"/>
  <c r="Q287" i="6"/>
  <c r="P287" i="6"/>
  <c r="O287" i="6"/>
  <c r="N287" i="6"/>
  <c r="M287" i="6"/>
  <c r="L287" i="6"/>
  <c r="K287" i="6"/>
  <c r="M286" i="6"/>
  <c r="J286" i="6"/>
  <c r="I286" i="6"/>
  <c r="H286" i="6"/>
  <c r="G286" i="6"/>
  <c r="J285" i="6"/>
  <c r="I285" i="6"/>
  <c r="M285" i="6" s="1"/>
  <c r="H285" i="6"/>
  <c r="J284" i="6"/>
  <c r="J283" i="6"/>
  <c r="I283" i="6"/>
  <c r="M283" i="6" s="1"/>
  <c r="J282" i="6"/>
  <c r="Q279" i="6"/>
  <c r="P279" i="6"/>
  <c r="N279" i="6"/>
  <c r="M279" i="6"/>
  <c r="L279" i="6"/>
  <c r="K279" i="6"/>
  <c r="J278" i="6"/>
  <c r="P278" i="6" s="1"/>
  <c r="I278" i="6"/>
  <c r="M278" i="6" s="1"/>
  <c r="H278" i="6"/>
  <c r="G278" i="6"/>
  <c r="H277" i="6"/>
  <c r="G277" i="6"/>
  <c r="G276" i="6" s="1"/>
  <c r="G275" i="6" s="1"/>
  <c r="Q274" i="6"/>
  <c r="P274" i="6"/>
  <c r="N274" i="6"/>
  <c r="M274" i="6"/>
  <c r="L274" i="6"/>
  <c r="K274" i="6"/>
  <c r="J273" i="6"/>
  <c r="I273" i="6"/>
  <c r="H273" i="6"/>
  <c r="K273" i="6" s="1"/>
  <c r="G273" i="6"/>
  <c r="G272" i="6" s="1"/>
  <c r="G271" i="6" s="1"/>
  <c r="I272" i="6"/>
  <c r="H272" i="6"/>
  <c r="H271" i="6" s="1"/>
  <c r="Q270" i="6"/>
  <c r="N270" i="6"/>
  <c r="M270" i="6"/>
  <c r="K270" i="6"/>
  <c r="R269" i="6"/>
  <c r="Q269" i="6"/>
  <c r="P269" i="6"/>
  <c r="O269" i="6"/>
  <c r="N269" i="6"/>
  <c r="M269" i="6"/>
  <c r="L269" i="6"/>
  <c r="K269" i="6"/>
  <c r="K268" i="6"/>
  <c r="J268" i="6"/>
  <c r="I268" i="6"/>
  <c r="H268" i="6"/>
  <c r="G268" i="6"/>
  <c r="K267" i="6"/>
  <c r="I267" i="6"/>
  <c r="H267" i="6"/>
  <c r="M266" i="6"/>
  <c r="M265" i="6"/>
  <c r="M264" i="6"/>
  <c r="R263" i="6"/>
  <c r="Q263" i="6"/>
  <c r="J263" i="6"/>
  <c r="I263" i="6"/>
  <c r="H262" i="6"/>
  <c r="G262" i="6"/>
  <c r="M261" i="6"/>
  <c r="M260" i="6"/>
  <c r="M259" i="6"/>
  <c r="M258" i="6"/>
  <c r="M257" i="6"/>
  <c r="M256" i="6"/>
  <c r="M255" i="6"/>
  <c r="M254" i="6"/>
  <c r="R253" i="6"/>
  <c r="Q253" i="6"/>
  <c r="J253" i="6"/>
  <c r="I253" i="6"/>
  <c r="H252" i="6"/>
  <c r="G252" i="6"/>
  <c r="G245" i="6" s="1"/>
  <c r="M251" i="6"/>
  <c r="M250" i="6"/>
  <c r="M249" i="6"/>
  <c r="M248" i="6"/>
  <c r="R247" i="6"/>
  <c r="Q247" i="6"/>
  <c r="N247" i="6"/>
  <c r="L247" i="6"/>
  <c r="J247" i="6"/>
  <c r="I247" i="6"/>
  <c r="K247" i="6" s="1"/>
  <c r="I246" i="6"/>
  <c r="H246" i="6"/>
  <c r="G246" i="6"/>
  <c r="M242" i="6"/>
  <c r="M241" i="6"/>
  <c r="Q240" i="6"/>
  <c r="J240" i="6"/>
  <c r="I240" i="6"/>
  <c r="K240" i="6" s="1"/>
  <c r="Q239" i="6"/>
  <c r="P239" i="6"/>
  <c r="M239" i="6"/>
  <c r="L239" i="6"/>
  <c r="K239" i="6"/>
  <c r="J238" i="6"/>
  <c r="J237" i="6" s="1"/>
  <c r="I238" i="6"/>
  <c r="I237" i="6" s="1"/>
  <c r="H238" i="6"/>
  <c r="G238" i="6"/>
  <c r="G237" i="6"/>
  <c r="G236" i="6" s="1"/>
  <c r="G235" i="6" s="1"/>
  <c r="I236" i="6"/>
  <c r="R234" i="6"/>
  <c r="Q234" i="6"/>
  <c r="P234" i="6"/>
  <c r="O234" i="6"/>
  <c r="N234" i="6"/>
  <c r="M234" i="6"/>
  <c r="L234" i="6"/>
  <c r="K234" i="6"/>
  <c r="J233" i="6"/>
  <c r="P233" i="6" s="1"/>
  <c r="I233" i="6"/>
  <c r="H233" i="6"/>
  <c r="G233" i="6"/>
  <c r="Q233" i="6" s="1"/>
  <c r="H232" i="6"/>
  <c r="R231" i="6"/>
  <c r="Q231" i="6"/>
  <c r="P231" i="6"/>
  <c r="O231" i="6"/>
  <c r="N231" i="6"/>
  <c r="M231" i="6"/>
  <c r="L231" i="6"/>
  <c r="K231" i="6"/>
  <c r="J230" i="6"/>
  <c r="I230" i="6"/>
  <c r="H230" i="6"/>
  <c r="P230" i="6" s="1"/>
  <c r="G230" i="6"/>
  <c r="J229" i="6"/>
  <c r="G229" i="6"/>
  <c r="M223" i="6"/>
  <c r="M222" i="6"/>
  <c r="Q221" i="6"/>
  <c r="P221" i="6"/>
  <c r="J221" i="6"/>
  <c r="I221" i="6"/>
  <c r="L221" i="6" s="1"/>
  <c r="P220" i="6"/>
  <c r="J220" i="6"/>
  <c r="H220" i="6"/>
  <c r="G220" i="6"/>
  <c r="G219" i="6" s="1"/>
  <c r="G218" i="6" s="1"/>
  <c r="G217" i="6" s="1"/>
  <c r="G216" i="6" s="1"/>
  <c r="G215" i="6" s="1"/>
  <c r="J219" i="6"/>
  <c r="M214" i="6"/>
  <c r="M213" i="6"/>
  <c r="M212" i="6"/>
  <c r="M211" i="6"/>
  <c r="M210" i="6"/>
  <c r="M209" i="6"/>
  <c r="R208" i="6"/>
  <c r="Q208" i="6"/>
  <c r="J208" i="6"/>
  <c r="I208" i="6"/>
  <c r="H207" i="6"/>
  <c r="H206" i="6" s="1"/>
  <c r="H205" i="6" s="1"/>
  <c r="G207" i="6"/>
  <c r="G206" i="6" s="1"/>
  <c r="Q204" i="6"/>
  <c r="P204" i="6"/>
  <c r="N204" i="6"/>
  <c r="M204" i="6"/>
  <c r="L204" i="6"/>
  <c r="K204" i="6"/>
  <c r="N203" i="6"/>
  <c r="J203" i="6"/>
  <c r="J202" i="6" s="1"/>
  <c r="I203" i="6"/>
  <c r="H203" i="6"/>
  <c r="G203" i="6"/>
  <c r="P202" i="6"/>
  <c r="I202" i="6"/>
  <c r="H202" i="6"/>
  <c r="G202" i="6"/>
  <c r="Q201" i="6"/>
  <c r="P201" i="6"/>
  <c r="N201" i="6"/>
  <c r="M201" i="6"/>
  <c r="L201" i="6"/>
  <c r="K201" i="6"/>
  <c r="J200" i="6"/>
  <c r="I200" i="6"/>
  <c r="I199" i="6" s="1"/>
  <c r="H200" i="6"/>
  <c r="G200" i="6"/>
  <c r="G199" i="6"/>
  <c r="Q198" i="6"/>
  <c r="P198" i="6"/>
  <c r="N198" i="6"/>
  <c r="M198" i="6"/>
  <c r="L198" i="6"/>
  <c r="K198" i="6"/>
  <c r="J197" i="6"/>
  <c r="J196" i="6" s="1"/>
  <c r="I197" i="6"/>
  <c r="M197" i="6" s="1"/>
  <c r="H197" i="6"/>
  <c r="Q197" i="6" s="1"/>
  <c r="G197" i="6"/>
  <c r="G196" i="6"/>
  <c r="Q195" i="6"/>
  <c r="P195" i="6"/>
  <c r="N195" i="6"/>
  <c r="M195" i="6"/>
  <c r="L195" i="6"/>
  <c r="K195" i="6"/>
  <c r="J194" i="6"/>
  <c r="I194" i="6"/>
  <c r="I193" i="6" s="1"/>
  <c r="H194" i="6"/>
  <c r="G194" i="6"/>
  <c r="G193" i="6" s="1"/>
  <c r="M188" i="6"/>
  <c r="M187" i="6"/>
  <c r="M186" i="6"/>
  <c r="M185" i="6"/>
  <c r="Q184" i="6"/>
  <c r="J184" i="6"/>
  <c r="I184" i="6"/>
  <c r="L184" i="6" s="1"/>
  <c r="I183" i="6"/>
  <c r="H183" i="6"/>
  <c r="G183" i="6"/>
  <c r="G182" i="6" s="1"/>
  <c r="I182" i="6"/>
  <c r="G181" i="6"/>
  <c r="G180" i="6" s="1"/>
  <c r="R179" i="6"/>
  <c r="Q179" i="6"/>
  <c r="P179" i="6"/>
  <c r="O179" i="6"/>
  <c r="N179" i="6"/>
  <c r="M179" i="6"/>
  <c r="L179" i="6"/>
  <c r="K179" i="6"/>
  <c r="J178" i="6"/>
  <c r="I178" i="6"/>
  <c r="H178" i="6"/>
  <c r="R178" i="6" s="1"/>
  <c r="G178" i="6"/>
  <c r="R177" i="6"/>
  <c r="Q177" i="6"/>
  <c r="H177" i="6"/>
  <c r="G177" i="6"/>
  <c r="R176" i="6"/>
  <c r="Q176" i="6"/>
  <c r="P176" i="6"/>
  <c r="O176" i="6"/>
  <c r="N176" i="6"/>
  <c r="M176" i="6"/>
  <c r="L176" i="6"/>
  <c r="K176" i="6"/>
  <c r="R175" i="6"/>
  <c r="J175" i="6"/>
  <c r="I175" i="6"/>
  <c r="M175" i="6" s="1"/>
  <c r="H175" i="6"/>
  <c r="Q175" i="6" s="1"/>
  <c r="G175" i="6"/>
  <c r="Q174" i="6"/>
  <c r="J174" i="6"/>
  <c r="H174" i="6"/>
  <c r="R174" i="6" s="1"/>
  <c r="G174" i="6"/>
  <c r="J173" i="6"/>
  <c r="H173" i="6"/>
  <c r="G173" i="6"/>
  <c r="R173" i="6" s="1"/>
  <c r="H172" i="6"/>
  <c r="G172" i="6"/>
  <c r="G171" i="6" s="1"/>
  <c r="H171" i="6"/>
  <c r="H170" i="6"/>
  <c r="M168" i="6"/>
  <c r="M167" i="6"/>
  <c r="M166" i="6"/>
  <c r="M165" i="6"/>
  <c r="M164" i="6"/>
  <c r="R163" i="6"/>
  <c r="Q163" i="6"/>
  <c r="J163" i="6"/>
  <c r="O163" i="6" s="1"/>
  <c r="I163" i="6"/>
  <c r="H162" i="6"/>
  <c r="G162" i="6"/>
  <c r="G161" i="6"/>
  <c r="G160" i="6"/>
  <c r="G159" i="6" s="1"/>
  <c r="G158" i="6" s="1"/>
  <c r="M156" i="6"/>
  <c r="M155" i="6"/>
  <c r="R154" i="6"/>
  <c r="Q154" i="6"/>
  <c r="O154" i="6"/>
  <c r="J154" i="6"/>
  <c r="P154" i="6" s="1"/>
  <c r="I154" i="6"/>
  <c r="J153" i="6"/>
  <c r="O153" i="6" s="1"/>
  <c r="I153" i="6"/>
  <c r="H153" i="6"/>
  <c r="G153" i="6"/>
  <c r="Q152" i="6"/>
  <c r="H152" i="6"/>
  <c r="H151" i="6" s="1"/>
  <c r="H150" i="6" s="1"/>
  <c r="H149" i="6" s="1"/>
  <c r="G152" i="6"/>
  <c r="M148" i="6"/>
  <c r="M147" i="6"/>
  <c r="M146" i="6"/>
  <c r="R145" i="6"/>
  <c r="Q145" i="6"/>
  <c r="J145" i="6"/>
  <c r="I145" i="6"/>
  <c r="L145" i="6" s="1"/>
  <c r="H144" i="6"/>
  <c r="G144" i="6"/>
  <c r="R144" i="6" s="1"/>
  <c r="R143" i="6"/>
  <c r="H143" i="6"/>
  <c r="G143" i="6"/>
  <c r="G142" i="6" s="1"/>
  <c r="G141" i="6" s="1"/>
  <c r="H142" i="6"/>
  <c r="R142" i="6" s="1"/>
  <c r="Q140" i="6"/>
  <c r="P140" i="6"/>
  <c r="N140" i="6"/>
  <c r="M140" i="6"/>
  <c r="L140" i="6"/>
  <c r="K140" i="6"/>
  <c r="J139" i="6"/>
  <c r="I139" i="6"/>
  <c r="K139" i="6" s="1"/>
  <c r="H139" i="6"/>
  <c r="L139" i="6" s="1"/>
  <c r="G139" i="6"/>
  <c r="I138" i="6"/>
  <c r="H138" i="6"/>
  <c r="L138" i="6" s="1"/>
  <c r="R137" i="6"/>
  <c r="Q137" i="6"/>
  <c r="P137" i="6"/>
  <c r="O137" i="6"/>
  <c r="N137" i="6"/>
  <c r="M137" i="6"/>
  <c r="L137" i="6"/>
  <c r="K137" i="6"/>
  <c r="N136" i="6"/>
  <c r="J136" i="6"/>
  <c r="O136" i="6" s="1"/>
  <c r="I136" i="6"/>
  <c r="M136" i="6" s="1"/>
  <c r="H136" i="6"/>
  <c r="G136" i="6"/>
  <c r="J135" i="6"/>
  <c r="G135" i="6"/>
  <c r="G134" i="6"/>
  <c r="R130" i="6"/>
  <c r="Q130" i="6"/>
  <c r="P130" i="6"/>
  <c r="O130" i="6"/>
  <c r="N130" i="6"/>
  <c r="M130" i="6"/>
  <c r="L130" i="6"/>
  <c r="K130" i="6"/>
  <c r="J129" i="6"/>
  <c r="P129" i="6" s="1"/>
  <c r="I129" i="6"/>
  <c r="H129" i="6"/>
  <c r="R129" i="6" s="1"/>
  <c r="G129" i="6"/>
  <c r="H128" i="6"/>
  <c r="H127" i="6" s="1"/>
  <c r="G128" i="6"/>
  <c r="H126" i="6"/>
  <c r="M124" i="6"/>
  <c r="M123" i="6"/>
  <c r="Q122" i="6"/>
  <c r="M122" i="6"/>
  <c r="J122" i="6"/>
  <c r="P122" i="6" s="1"/>
  <c r="I122" i="6"/>
  <c r="K122" i="6" s="1"/>
  <c r="J121" i="6"/>
  <c r="I121" i="6"/>
  <c r="H121" i="6"/>
  <c r="G121" i="6"/>
  <c r="G120" i="6" s="1"/>
  <c r="H120" i="6"/>
  <c r="Q120" i="6" s="1"/>
  <c r="M119" i="6"/>
  <c r="M118" i="6"/>
  <c r="Q117" i="6"/>
  <c r="L117" i="6"/>
  <c r="J117" i="6"/>
  <c r="J116" i="6" s="1"/>
  <c r="I117" i="6"/>
  <c r="L116" i="6"/>
  <c r="I116" i="6"/>
  <c r="K116" i="6" s="1"/>
  <c r="H116" i="6"/>
  <c r="G116" i="6"/>
  <c r="I115" i="6"/>
  <c r="L115" i="6" s="1"/>
  <c r="H115" i="6"/>
  <c r="G115" i="6"/>
  <c r="G114" i="6" s="1"/>
  <c r="G113" i="6" s="1"/>
  <c r="G112" i="6" s="1"/>
  <c r="G111" i="6" s="1"/>
  <c r="Q109" i="6"/>
  <c r="P109" i="6"/>
  <c r="N109" i="6"/>
  <c r="M109" i="6"/>
  <c r="L109" i="6"/>
  <c r="K109" i="6"/>
  <c r="J108" i="6"/>
  <c r="I108" i="6"/>
  <c r="N108" i="6" s="1"/>
  <c r="H108" i="6"/>
  <c r="Q108" i="6" s="1"/>
  <c r="G108" i="6"/>
  <c r="J107" i="6"/>
  <c r="G107" i="6"/>
  <c r="R106" i="6"/>
  <c r="Q106" i="6"/>
  <c r="P106" i="6"/>
  <c r="O106" i="6"/>
  <c r="N106" i="6"/>
  <c r="M106" i="6"/>
  <c r="L106" i="6"/>
  <c r="K106" i="6"/>
  <c r="M105" i="6"/>
  <c r="M104" i="6"/>
  <c r="Q103" i="6"/>
  <c r="J103" i="6"/>
  <c r="I103" i="6"/>
  <c r="L103" i="6" s="1"/>
  <c r="L102" i="6"/>
  <c r="I102" i="6"/>
  <c r="H102" i="6"/>
  <c r="H101" i="6" s="1"/>
  <c r="G102" i="6"/>
  <c r="I101" i="6"/>
  <c r="G101" i="6"/>
  <c r="G100" i="6" s="1"/>
  <c r="Q98" i="6"/>
  <c r="P98" i="6"/>
  <c r="N98" i="6"/>
  <c r="M98" i="6"/>
  <c r="L98" i="6"/>
  <c r="K98" i="6"/>
  <c r="Q97" i="6"/>
  <c r="J97" i="6"/>
  <c r="I97" i="6"/>
  <c r="L97" i="6" s="1"/>
  <c r="H97" i="6"/>
  <c r="H96" i="6" s="1"/>
  <c r="G97" i="6"/>
  <c r="G96" i="6"/>
  <c r="G95" i="6" s="1"/>
  <c r="H95" i="6"/>
  <c r="H94" i="6" s="1"/>
  <c r="M92" i="6"/>
  <c r="M91" i="6"/>
  <c r="R90" i="6"/>
  <c r="Q90" i="6"/>
  <c r="J90" i="6"/>
  <c r="I90" i="6"/>
  <c r="L90" i="6" s="1"/>
  <c r="H89" i="6"/>
  <c r="H88" i="6" s="1"/>
  <c r="G89" i="6"/>
  <c r="G88" i="6"/>
  <c r="G86" i="6" s="1"/>
  <c r="G85" i="6" s="1"/>
  <c r="G84" i="6" s="1"/>
  <c r="M82" i="6"/>
  <c r="M81" i="6"/>
  <c r="R80" i="6"/>
  <c r="Q80" i="6"/>
  <c r="L80" i="6"/>
  <c r="J80" i="6"/>
  <c r="N80" i="6" s="1"/>
  <c r="I80" i="6"/>
  <c r="I79" i="6"/>
  <c r="H79" i="6"/>
  <c r="G79" i="6"/>
  <c r="G78" i="6" s="1"/>
  <c r="I78" i="6"/>
  <c r="H78" i="6"/>
  <c r="H77" i="6"/>
  <c r="Q73" i="6"/>
  <c r="P73" i="6"/>
  <c r="N73" i="6"/>
  <c r="M73" i="6"/>
  <c r="L73" i="6"/>
  <c r="K73" i="6"/>
  <c r="J72" i="6"/>
  <c r="P72" i="6" s="1"/>
  <c r="I72" i="6"/>
  <c r="M72" i="6" s="1"/>
  <c r="H72" i="6"/>
  <c r="G72" i="6"/>
  <c r="G71" i="6" s="1"/>
  <c r="J71" i="6"/>
  <c r="P71" i="6" s="1"/>
  <c r="H71" i="6"/>
  <c r="J70" i="6"/>
  <c r="H70" i="6"/>
  <c r="M69" i="6"/>
  <c r="M68" i="6"/>
  <c r="M67" i="6"/>
  <c r="M66" i="6"/>
  <c r="R65" i="6"/>
  <c r="Q65" i="6"/>
  <c r="J65" i="6"/>
  <c r="O65" i="6" s="1"/>
  <c r="I65" i="6"/>
  <c r="L65" i="6" s="1"/>
  <c r="P64" i="6"/>
  <c r="J64" i="6"/>
  <c r="H64" i="6"/>
  <c r="G64" i="6"/>
  <c r="R63" i="6"/>
  <c r="Q63" i="6"/>
  <c r="P63" i="6"/>
  <c r="O63" i="6"/>
  <c r="N63" i="6"/>
  <c r="M63" i="6"/>
  <c r="L63" i="6"/>
  <c r="K63" i="6"/>
  <c r="J62" i="6"/>
  <c r="I62" i="6"/>
  <c r="L62" i="6" s="1"/>
  <c r="H62" i="6"/>
  <c r="R62" i="6" s="1"/>
  <c r="G62" i="6"/>
  <c r="M61" i="6"/>
  <c r="M60" i="6"/>
  <c r="M59" i="6"/>
  <c r="M58" i="6"/>
  <c r="M57" i="6"/>
  <c r="M56" i="6"/>
  <c r="M55" i="6"/>
  <c r="M54" i="6"/>
  <c r="R53" i="6"/>
  <c r="Q53" i="6"/>
  <c r="K53" i="6"/>
  <c r="J53" i="6"/>
  <c r="O53" i="6" s="1"/>
  <c r="I53" i="6"/>
  <c r="L53" i="6" s="1"/>
  <c r="L52" i="6"/>
  <c r="J52" i="6"/>
  <c r="I52" i="6"/>
  <c r="H52" i="6"/>
  <c r="G52" i="6"/>
  <c r="R51" i="6"/>
  <c r="Q51" i="6"/>
  <c r="P51" i="6"/>
  <c r="O51" i="6"/>
  <c r="N51" i="6"/>
  <c r="M51" i="6"/>
  <c r="L51" i="6"/>
  <c r="K51" i="6"/>
  <c r="J50" i="6"/>
  <c r="I50" i="6"/>
  <c r="H50" i="6"/>
  <c r="G50" i="6"/>
  <c r="M48" i="6"/>
  <c r="M47" i="6"/>
  <c r="R46" i="6"/>
  <c r="Q46" i="6"/>
  <c r="K46" i="6"/>
  <c r="J46" i="6"/>
  <c r="O46" i="6" s="1"/>
  <c r="I46" i="6"/>
  <c r="M46" i="6" s="1"/>
  <c r="H45" i="6"/>
  <c r="G45" i="6"/>
  <c r="H44" i="6"/>
  <c r="R40" i="6"/>
  <c r="Q40" i="6"/>
  <c r="O40" i="6"/>
  <c r="M40" i="6"/>
  <c r="K40" i="6"/>
  <c r="J39" i="6"/>
  <c r="O39" i="6" s="1"/>
  <c r="I39" i="6"/>
  <c r="K39" i="6" s="1"/>
  <c r="H39" i="6"/>
  <c r="H38" i="6" s="1"/>
  <c r="G39" i="6"/>
  <c r="J38" i="6"/>
  <c r="G38" i="6"/>
  <c r="Q34" i="6"/>
  <c r="N34" i="6"/>
  <c r="M34" i="6"/>
  <c r="K34" i="6"/>
  <c r="R33" i="6"/>
  <c r="Q33" i="6"/>
  <c r="P33" i="6"/>
  <c r="O33" i="6"/>
  <c r="M33" i="6"/>
  <c r="L33" i="6"/>
  <c r="K33" i="6"/>
  <c r="J32" i="6"/>
  <c r="I32" i="6"/>
  <c r="H32" i="6"/>
  <c r="L32" i="6" s="1"/>
  <c r="G32" i="6"/>
  <c r="G31" i="6" s="1"/>
  <c r="J31" i="6"/>
  <c r="N31" i="6" s="1"/>
  <c r="I31" i="6"/>
  <c r="M29" i="6"/>
  <c r="M28" i="6"/>
  <c r="R27" i="6"/>
  <c r="Q27" i="6"/>
  <c r="K27" i="6"/>
  <c r="J27" i="6"/>
  <c r="I27" i="6"/>
  <c r="L27" i="6" s="1"/>
  <c r="H26" i="6"/>
  <c r="G26" i="6"/>
  <c r="H25" i="6"/>
  <c r="M21" i="6"/>
  <c r="M20" i="6"/>
  <c r="R19" i="6"/>
  <c r="Q19" i="6"/>
  <c r="J19" i="6"/>
  <c r="I19" i="6"/>
  <c r="M19" i="6" s="1"/>
  <c r="H18" i="6"/>
  <c r="G18" i="6"/>
  <c r="G17" i="6" s="1"/>
  <c r="H17" i="6"/>
  <c r="M16" i="6"/>
  <c r="M15" i="6"/>
  <c r="R14" i="6"/>
  <c r="Q14" i="6"/>
  <c r="J14" i="6"/>
  <c r="I14" i="6"/>
  <c r="M14" i="6" s="1"/>
  <c r="H13" i="6"/>
  <c r="H12" i="6" s="1"/>
  <c r="G13" i="6"/>
  <c r="G12" i="6"/>
  <c r="G11" i="6" s="1"/>
  <c r="E6" i="5"/>
  <c r="G6" i="5" s="1"/>
  <c r="F6" i="5"/>
  <c r="I6" i="5"/>
  <c r="J6" i="5" s="1"/>
  <c r="Q6" i="5"/>
  <c r="R6" i="5"/>
  <c r="T6" i="5"/>
  <c r="W6" i="5"/>
  <c r="X6" i="5"/>
  <c r="AC6" i="5"/>
  <c r="AD6" i="5"/>
  <c r="AE6" i="5"/>
  <c r="AP6" i="5"/>
  <c r="AQ6" i="5"/>
  <c r="AR6" i="5"/>
  <c r="AS6" i="5"/>
  <c r="AT6" i="5"/>
  <c r="AW6" i="5"/>
  <c r="AY6" i="5"/>
  <c r="BE6" i="5"/>
  <c r="BH6" i="5"/>
  <c r="BI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Q6" i="5"/>
  <c r="DR6" i="5"/>
  <c r="DS6" i="5"/>
  <c r="DT6" i="5"/>
  <c r="EI6" i="5" s="1"/>
  <c r="DU6" i="5"/>
  <c r="DV6" i="5"/>
  <c r="DW6" i="5"/>
  <c r="DX6" i="5"/>
  <c r="DY6" i="5"/>
  <c r="DZ6" i="5"/>
  <c r="EA6" i="5"/>
  <c r="EB6" i="5"/>
  <c r="EC6" i="5"/>
  <c r="EG6" i="5" s="1"/>
  <c r="ED6" i="5"/>
  <c r="EK6" i="5"/>
  <c r="D7" i="5"/>
  <c r="G7" i="5"/>
  <c r="J7" i="5"/>
  <c r="K7" i="5"/>
  <c r="L7" i="5"/>
  <c r="M7" i="5"/>
  <c r="O7" i="5"/>
  <c r="S7" i="5"/>
  <c r="U7" i="5"/>
  <c r="AB7" i="5" s="1"/>
  <c r="V7" i="5"/>
  <c r="AF7" i="5"/>
  <c r="AJ7" i="5"/>
  <c r="AK7" i="5"/>
  <c r="AM7" i="5"/>
  <c r="AN7" i="5"/>
  <c r="AO7" i="5"/>
  <c r="AU7" i="5"/>
  <c r="AV7" i="5"/>
  <c r="AX7" i="5"/>
  <c r="AZ7" i="5"/>
  <c r="AZ6" i="5" s="1"/>
  <c r="BA7" i="5"/>
  <c r="BB7" i="5"/>
  <c r="BC7" i="5"/>
  <c r="BF7" i="5"/>
  <c r="BG7" i="5"/>
  <c r="DO7" i="5"/>
  <c r="DP7" i="5"/>
  <c r="EE7" i="5"/>
  <c r="EF7" i="5"/>
  <c r="EG7" i="5"/>
  <c r="EH7" i="5"/>
  <c r="EI7" i="5"/>
  <c r="EJ7" i="5"/>
  <c r="EK7" i="5"/>
  <c r="EL7" i="5"/>
  <c r="EM7" i="5"/>
  <c r="D8" i="5"/>
  <c r="G8" i="5"/>
  <c r="H8" i="5"/>
  <c r="J8" i="5"/>
  <c r="K8" i="5"/>
  <c r="L8" i="5" s="1"/>
  <c r="S8" i="5"/>
  <c r="U8" i="5"/>
  <c r="V8" i="5"/>
  <c r="AF8" i="5"/>
  <c r="AI8" i="5" s="1"/>
  <c r="AG8" i="5"/>
  <c r="AH8" i="5"/>
  <c r="AJ8" i="5"/>
  <c r="AK8" i="5"/>
  <c r="AM8" i="5"/>
  <c r="AN8" i="5"/>
  <c r="AO8" i="5"/>
  <c r="AU8" i="5"/>
  <c r="AV8" i="5"/>
  <c r="AX8" i="5"/>
  <c r="AZ8" i="5"/>
  <c r="BA8" i="5"/>
  <c r="BA6" i="5" s="1"/>
  <c r="BB8" i="5"/>
  <c r="BC8" i="5"/>
  <c r="BD8" i="5"/>
  <c r="BF8" i="5"/>
  <c r="BG8" i="5"/>
  <c r="DO8" i="5"/>
  <c r="DP8" i="5"/>
  <c r="EE8" i="5"/>
  <c r="EF8" i="5"/>
  <c r="EG8" i="5"/>
  <c r="EH8" i="5"/>
  <c r="EI8" i="5"/>
  <c r="EJ8" i="5"/>
  <c r="EK8" i="5"/>
  <c r="EL8" i="5"/>
  <c r="EM8" i="5"/>
  <c r="S9" i="5"/>
  <c r="U9" i="5"/>
  <c r="AB9" i="5" s="1"/>
  <c r="V9" i="5"/>
  <c r="AG9" i="5"/>
  <c r="AH9" i="5"/>
  <c r="AI9" i="5"/>
  <c r="AJ9" i="5"/>
  <c r="AK9" i="5"/>
  <c r="AM9" i="5"/>
  <c r="AN9" i="5"/>
  <c r="AO9" i="5"/>
  <c r="AU9" i="5"/>
  <c r="AZ9" i="5"/>
  <c r="BD9" i="5"/>
  <c r="BG9" i="5"/>
  <c r="DO9" i="5"/>
  <c r="DP9" i="5"/>
  <c r="EE9" i="5"/>
  <c r="EF9" i="5"/>
  <c r="EG9" i="5"/>
  <c r="EH9" i="5"/>
  <c r="EI9" i="5"/>
  <c r="EJ9" i="5"/>
  <c r="EL9" i="5"/>
  <c r="EM9" i="5"/>
  <c r="G10" i="5"/>
  <c r="J10" i="5"/>
  <c r="L10" i="5"/>
  <c r="M10" i="5"/>
  <c r="O10" i="5"/>
  <c r="S10" i="5"/>
  <c r="U10" i="5"/>
  <c r="AB10" i="5" s="1"/>
  <c r="V10" i="5"/>
  <c r="AH10" i="5"/>
  <c r="AI10" i="5"/>
  <c r="AK10" i="5"/>
  <c r="AM10" i="5"/>
  <c r="AN10" i="5"/>
  <c r="AO10" i="5"/>
  <c r="AU10" i="5"/>
  <c r="AV10" i="5"/>
  <c r="AX10" i="5"/>
  <c r="AZ10" i="5"/>
  <c r="BC10" i="5"/>
  <c r="BF10" i="5"/>
  <c r="BG10" i="5"/>
  <c r="DO10" i="5"/>
  <c r="DP10" i="5"/>
  <c r="EE10" i="5"/>
  <c r="EG10" i="5"/>
  <c r="EI10" i="5"/>
  <c r="EL10" i="5"/>
  <c r="EM10" i="5"/>
  <c r="D11" i="5"/>
  <c r="G11" i="5"/>
  <c r="H11" i="5"/>
  <c r="J11" i="5"/>
  <c r="K11" i="5"/>
  <c r="L11" i="5" s="1"/>
  <c r="M11" i="5"/>
  <c r="O11" i="5"/>
  <c r="P11" i="5"/>
  <c r="S11" i="5"/>
  <c r="U11" i="5"/>
  <c r="AB11" i="5" s="1"/>
  <c r="V11" i="5"/>
  <c r="AF11" i="5"/>
  <c r="AI11" i="5" s="1"/>
  <c r="AK11" i="5"/>
  <c r="AM11" i="5"/>
  <c r="AN11" i="5"/>
  <c r="AO11" i="5"/>
  <c r="AU11" i="5"/>
  <c r="AV11" i="5"/>
  <c r="AX11" i="5"/>
  <c r="AZ11" i="5"/>
  <c r="BA11" i="5"/>
  <c r="BB11" i="5"/>
  <c r="BC11" i="5"/>
  <c r="BF11" i="5"/>
  <c r="BG11" i="5"/>
  <c r="DO11" i="5"/>
  <c r="DP11" i="5"/>
  <c r="EE11" i="5"/>
  <c r="EF11" i="5"/>
  <c r="EG11" i="5"/>
  <c r="EH11" i="5"/>
  <c r="EI11" i="5"/>
  <c r="EJ11" i="5"/>
  <c r="EK11" i="5"/>
  <c r="EL11" i="5"/>
  <c r="EM11" i="5"/>
  <c r="E12" i="5"/>
  <c r="F12" i="5"/>
  <c r="I12" i="5"/>
  <c r="J12" i="5" s="1"/>
  <c r="Q12" i="5"/>
  <c r="R12" i="5"/>
  <c r="T12" i="5"/>
  <c r="W12" i="5"/>
  <c r="X12" i="5"/>
  <c r="AC12" i="5"/>
  <c r="AD12" i="5"/>
  <c r="AE12" i="5"/>
  <c r="AP12" i="5"/>
  <c r="AQ12" i="5"/>
  <c r="AR12" i="5"/>
  <c r="AS12" i="5"/>
  <c r="AT12" i="5"/>
  <c r="AU12" i="5" s="1"/>
  <c r="AW12" i="5"/>
  <c r="AX12" i="5" s="1"/>
  <c r="AY12" i="5"/>
  <c r="BE12" i="5"/>
  <c r="BH12" i="5"/>
  <c r="BI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O12" i="5"/>
  <c r="DQ12" i="5"/>
  <c r="DR12" i="5"/>
  <c r="DS12" i="5"/>
  <c r="DT12" i="5"/>
  <c r="DU12" i="5"/>
  <c r="DV12" i="5"/>
  <c r="DW12" i="5"/>
  <c r="DX12" i="5"/>
  <c r="DY12" i="5"/>
  <c r="DZ12" i="5"/>
  <c r="EA12" i="5"/>
  <c r="EB12" i="5"/>
  <c r="EM12" i="5" s="1"/>
  <c r="EC12" i="5"/>
  <c r="ED12" i="5"/>
  <c r="D13" i="5"/>
  <c r="D12" i="5" s="1"/>
  <c r="G13" i="5"/>
  <c r="H13" i="5"/>
  <c r="J13" i="5"/>
  <c r="K13" i="5"/>
  <c r="K12" i="5" s="1"/>
  <c r="M13" i="5"/>
  <c r="M12" i="5" s="1"/>
  <c r="O13" i="5"/>
  <c r="O12" i="5" s="1"/>
  <c r="P13" i="5"/>
  <c r="P12" i="5" s="1"/>
  <c r="S13" i="5"/>
  <c r="S12" i="5" s="1"/>
  <c r="U13" i="5"/>
  <c r="V13" i="5"/>
  <c r="V12" i="5" s="1"/>
  <c r="AF13" i="5"/>
  <c r="AJ13" i="5"/>
  <c r="AJ12" i="5" s="1"/>
  <c r="AK13" i="5"/>
  <c r="AK12" i="5" s="1"/>
  <c r="AM13" i="5"/>
  <c r="AM12" i="5" s="1"/>
  <c r="AN13" i="5"/>
  <c r="AN12" i="5" s="1"/>
  <c r="AO13" i="5"/>
  <c r="AO12" i="5" s="1"/>
  <c r="AU13" i="5"/>
  <c r="AV13" i="5"/>
  <c r="AX13" i="5"/>
  <c r="AZ13" i="5"/>
  <c r="AZ12" i="5" s="1"/>
  <c r="BA13" i="5"/>
  <c r="BA12" i="5" s="1"/>
  <c r="BB13" i="5"/>
  <c r="BB12" i="5" s="1"/>
  <c r="BC13" i="5"/>
  <c r="BC12" i="5" s="1"/>
  <c r="BF13" i="5"/>
  <c r="BF12" i="5" s="1"/>
  <c r="BG13" i="5"/>
  <c r="BG12" i="5" s="1"/>
  <c r="DO13" i="5"/>
  <c r="DP13" i="5"/>
  <c r="DP12" i="5" s="1"/>
  <c r="EE13" i="5"/>
  <c r="EF13" i="5"/>
  <c r="EG13" i="5"/>
  <c r="EH13" i="5"/>
  <c r="EI13" i="5"/>
  <c r="EJ13" i="5"/>
  <c r="EK13" i="5"/>
  <c r="EL13" i="5"/>
  <c r="EM13" i="5"/>
  <c r="E14" i="5"/>
  <c r="F14" i="5"/>
  <c r="I14" i="5"/>
  <c r="Q14" i="5"/>
  <c r="R14" i="5"/>
  <c r="T14" i="5"/>
  <c r="W14" i="5"/>
  <c r="X14" i="5"/>
  <c r="X42" i="5" s="1"/>
  <c r="X50" i="5" s="1"/>
  <c r="AC14" i="5"/>
  <c r="AD14" i="5"/>
  <c r="AE14" i="5"/>
  <c r="AP14" i="5"/>
  <c r="AQ14" i="5"/>
  <c r="AR14" i="5"/>
  <c r="AS14" i="5"/>
  <c r="AT14" i="5"/>
  <c r="AW14" i="5"/>
  <c r="AY14" i="5"/>
  <c r="BE14" i="5"/>
  <c r="BH14" i="5"/>
  <c r="BI14" i="5"/>
  <c r="BM14" i="5"/>
  <c r="BN14" i="5"/>
  <c r="BO14" i="5"/>
  <c r="BP14" i="5"/>
  <c r="BQ14" i="5"/>
  <c r="BR14" i="5"/>
  <c r="BS14" i="5"/>
  <c r="BS42" i="5" s="1"/>
  <c r="BS52" i="5" s="1"/>
  <c r="BT14" i="5"/>
  <c r="BU14" i="5"/>
  <c r="BV14" i="5"/>
  <c r="BW14" i="5"/>
  <c r="BW42" i="5" s="1"/>
  <c r="BW52" i="5" s="1"/>
  <c r="BX14" i="5"/>
  <c r="BY14" i="5"/>
  <c r="BZ14" i="5"/>
  <c r="CA14" i="5"/>
  <c r="CA42" i="5" s="1"/>
  <c r="CA52" i="5" s="1"/>
  <c r="CB14" i="5"/>
  <c r="CC14" i="5"/>
  <c r="CD14" i="5"/>
  <c r="CE14" i="5"/>
  <c r="CE42" i="5" s="1"/>
  <c r="CE52" i="5" s="1"/>
  <c r="CF14" i="5"/>
  <c r="CG14" i="5"/>
  <c r="CH14" i="5"/>
  <c r="CI14" i="5"/>
  <c r="CI42" i="5" s="1"/>
  <c r="CI52" i="5" s="1"/>
  <c r="CJ14" i="5"/>
  <c r="CK14" i="5"/>
  <c r="CL14" i="5"/>
  <c r="CM14" i="5"/>
  <c r="CM42" i="5" s="1"/>
  <c r="CM52" i="5" s="1"/>
  <c r="CN14" i="5"/>
  <c r="CO14" i="5"/>
  <c r="CP14" i="5"/>
  <c r="CQ14" i="5"/>
  <c r="CQ42" i="5" s="1"/>
  <c r="CQ52" i="5" s="1"/>
  <c r="CR14" i="5"/>
  <c r="CS14" i="5"/>
  <c r="CT14" i="5"/>
  <c r="CU14" i="5"/>
  <c r="CU42" i="5" s="1"/>
  <c r="CU52" i="5" s="1"/>
  <c r="CV14" i="5"/>
  <c r="CW14" i="5"/>
  <c r="CX14" i="5"/>
  <c r="CY14" i="5"/>
  <c r="CY42" i="5" s="1"/>
  <c r="CY55" i="5" s="1"/>
  <c r="CZ14" i="5"/>
  <c r="DA14" i="5"/>
  <c r="DB14" i="5"/>
  <c r="DC14" i="5"/>
  <c r="DC42" i="5" s="1"/>
  <c r="DC52" i="5" s="1"/>
  <c r="DD14" i="5"/>
  <c r="DE14" i="5"/>
  <c r="DF14" i="5"/>
  <c r="DG14" i="5"/>
  <c r="DH14" i="5"/>
  <c r="DI14" i="5"/>
  <c r="DJ14" i="5"/>
  <c r="DQ14" i="5"/>
  <c r="DR14" i="5"/>
  <c r="DS14" i="5"/>
  <c r="DT14" i="5"/>
  <c r="DU14" i="5"/>
  <c r="DV14" i="5"/>
  <c r="DW14" i="5"/>
  <c r="DX14" i="5"/>
  <c r="DY14" i="5"/>
  <c r="DZ14" i="5"/>
  <c r="EA14" i="5"/>
  <c r="EB14" i="5"/>
  <c r="EC14" i="5"/>
  <c r="ED14" i="5"/>
  <c r="EL14" i="5"/>
  <c r="EM14" i="5"/>
  <c r="G15" i="5"/>
  <c r="J15" i="5"/>
  <c r="K15" i="5"/>
  <c r="S15" i="5"/>
  <c r="U15" i="5"/>
  <c r="V15" i="5"/>
  <c r="AB15" i="5"/>
  <c r="AF15" i="5"/>
  <c r="AK15" i="5"/>
  <c r="AM15" i="5"/>
  <c r="AN15" i="5"/>
  <c r="AO15" i="5"/>
  <c r="AU15" i="5"/>
  <c r="AV15" i="5"/>
  <c r="AX15" i="5"/>
  <c r="AZ15" i="5"/>
  <c r="BA15" i="5"/>
  <c r="BB15" i="5"/>
  <c r="BC15" i="5"/>
  <c r="BF15" i="5"/>
  <c r="BG15" i="5"/>
  <c r="DO15" i="5"/>
  <c r="DP15" i="5"/>
  <c r="EE15" i="5"/>
  <c r="EF15" i="5"/>
  <c r="EG15" i="5"/>
  <c r="EH15" i="5"/>
  <c r="EI15" i="5"/>
  <c r="EJ15" i="5"/>
  <c r="EK15" i="5"/>
  <c r="EL15" i="5"/>
  <c r="EM15" i="5"/>
  <c r="D16" i="5"/>
  <c r="D14" i="5" s="1"/>
  <c r="G16" i="5"/>
  <c r="H16" i="5"/>
  <c r="J16" i="5"/>
  <c r="K16" i="5"/>
  <c r="P16" i="5"/>
  <c r="P14" i="5" s="1"/>
  <c r="S16" i="5"/>
  <c r="U16" i="5"/>
  <c r="V16" i="5"/>
  <c r="V14" i="5" s="1"/>
  <c r="AF16" i="5"/>
  <c r="AI16" i="5" s="1"/>
  <c r="AG16" i="5"/>
  <c r="AK16" i="5"/>
  <c r="AK14" i="5" s="1"/>
  <c r="AM16" i="5"/>
  <c r="AM14" i="5" s="1"/>
  <c r="AN16" i="5"/>
  <c r="AN14" i="5" s="1"/>
  <c r="AO16" i="5"/>
  <c r="AU16" i="5"/>
  <c r="AV16" i="5"/>
  <c r="AX16" i="5"/>
  <c r="AZ16" i="5"/>
  <c r="BA16" i="5"/>
  <c r="BA14" i="5" s="1"/>
  <c r="BB16" i="5"/>
  <c r="BB14" i="5" s="1"/>
  <c r="BC16" i="5"/>
  <c r="BC14" i="5" s="1"/>
  <c r="BD16" i="5"/>
  <c r="BF16" i="5"/>
  <c r="BG16" i="5"/>
  <c r="BG14" i="5" s="1"/>
  <c r="DO16" i="5"/>
  <c r="DO14" i="5" s="1"/>
  <c r="DP16" i="5"/>
  <c r="DP14" i="5" s="1"/>
  <c r="EE16" i="5"/>
  <c r="EF16" i="5"/>
  <c r="EG16" i="5"/>
  <c r="EH16" i="5"/>
  <c r="EI16" i="5"/>
  <c r="EJ16" i="5"/>
  <c r="EK16" i="5"/>
  <c r="EL16" i="5"/>
  <c r="EM16" i="5"/>
  <c r="E17" i="5"/>
  <c r="F17" i="5"/>
  <c r="I17" i="5"/>
  <c r="J17" i="5" s="1"/>
  <c r="Q17" i="5"/>
  <c r="R17" i="5"/>
  <c r="T17" i="5"/>
  <c r="W17" i="5"/>
  <c r="X17" i="5"/>
  <c r="AC17" i="5"/>
  <c r="AD17" i="5"/>
  <c r="AE17" i="5"/>
  <c r="AP17" i="5"/>
  <c r="AQ17" i="5"/>
  <c r="AR17" i="5"/>
  <c r="AS17" i="5"/>
  <c r="AT17" i="5"/>
  <c r="AU17" i="5" s="1"/>
  <c r="AW17" i="5"/>
  <c r="AY17" i="5"/>
  <c r="BE17" i="5"/>
  <c r="BH17" i="5"/>
  <c r="BI17" i="5"/>
  <c r="BM17" i="5"/>
  <c r="BN17" i="5"/>
  <c r="BO17" i="5"/>
  <c r="BP17" i="5"/>
  <c r="BQ17" i="5"/>
  <c r="BR17" i="5"/>
  <c r="BR42" i="5" s="1"/>
  <c r="BS17" i="5"/>
  <c r="BT17" i="5"/>
  <c r="BU17" i="5"/>
  <c r="BV17" i="5"/>
  <c r="BW17" i="5"/>
  <c r="BX17" i="5"/>
  <c r="BY17" i="5"/>
  <c r="BZ17" i="5"/>
  <c r="BZ42" i="5" s="1"/>
  <c r="CA17" i="5"/>
  <c r="CB17" i="5"/>
  <c r="CC17" i="5"/>
  <c r="CD17" i="5"/>
  <c r="CD42" i="5" s="1"/>
  <c r="CE17" i="5"/>
  <c r="CF17" i="5"/>
  <c r="CG17" i="5"/>
  <c r="CH17" i="5"/>
  <c r="CH42" i="5" s="1"/>
  <c r="CI17" i="5"/>
  <c r="CJ17" i="5"/>
  <c r="CK17" i="5"/>
  <c r="CL17" i="5"/>
  <c r="CM17" i="5"/>
  <c r="CN17" i="5"/>
  <c r="CO17" i="5"/>
  <c r="CP17" i="5"/>
  <c r="CP42" i="5" s="1"/>
  <c r="CQ17" i="5"/>
  <c r="CR17" i="5"/>
  <c r="CS17" i="5"/>
  <c r="CT17" i="5"/>
  <c r="CT42" i="5" s="1"/>
  <c r="CU17" i="5"/>
  <c r="CV17" i="5"/>
  <c r="CW17" i="5"/>
  <c r="CX17" i="5"/>
  <c r="CX42" i="5" s="1"/>
  <c r="CX55" i="5" s="1"/>
  <c r="CY17" i="5"/>
  <c r="CZ17" i="5"/>
  <c r="DA17" i="5"/>
  <c r="DB17" i="5"/>
  <c r="DC17" i="5"/>
  <c r="DD17" i="5"/>
  <c r="DE17" i="5"/>
  <c r="DF17" i="5"/>
  <c r="DF42" i="5" s="1"/>
  <c r="DG17" i="5"/>
  <c r="DH17" i="5"/>
  <c r="DI17" i="5"/>
  <c r="DJ17" i="5"/>
  <c r="DJ42" i="5" s="1"/>
  <c r="DQ17" i="5"/>
  <c r="DR17" i="5"/>
  <c r="DS17" i="5"/>
  <c r="DT17" i="5"/>
  <c r="DU17" i="5"/>
  <c r="DV17" i="5"/>
  <c r="DW17" i="5"/>
  <c r="DX17" i="5"/>
  <c r="DY17" i="5"/>
  <c r="DZ17" i="5"/>
  <c r="EA17" i="5"/>
  <c r="EB17" i="5"/>
  <c r="EC17" i="5"/>
  <c r="ED17" i="5"/>
  <c r="EG17" i="5"/>
  <c r="EK17" i="5"/>
  <c r="D18" i="5"/>
  <c r="G18" i="5"/>
  <c r="J18" i="5"/>
  <c r="K18" i="5"/>
  <c r="L18" i="5" s="1"/>
  <c r="O18" i="5"/>
  <c r="P18" i="5"/>
  <c r="S18" i="5"/>
  <c r="U18" i="5"/>
  <c r="V18" i="5"/>
  <c r="AB18" i="5"/>
  <c r="AF18" i="5"/>
  <c r="AM18" i="5"/>
  <c r="AN18" i="5"/>
  <c r="AO18" i="5"/>
  <c r="AU18" i="5"/>
  <c r="AX18" i="5"/>
  <c r="AZ18" i="5"/>
  <c r="BA18" i="5"/>
  <c r="BB18" i="5"/>
  <c r="BG18" i="5"/>
  <c r="DO18" i="5"/>
  <c r="DP18" i="5"/>
  <c r="EE18" i="5"/>
  <c r="EF18" i="5"/>
  <c r="EG18" i="5"/>
  <c r="EH18" i="5"/>
  <c r="EJ18" i="5"/>
  <c r="EK18" i="5"/>
  <c r="EL18" i="5"/>
  <c r="G19" i="5"/>
  <c r="J19" i="5"/>
  <c r="K19" i="5"/>
  <c r="O19" i="5"/>
  <c r="S19" i="5"/>
  <c r="U19" i="5"/>
  <c r="U17" i="5" s="1"/>
  <c r="V19" i="5"/>
  <c r="AB19" i="5"/>
  <c r="AG19" i="5"/>
  <c r="AH19" i="5"/>
  <c r="AI19" i="5"/>
  <c r="AJ19" i="5"/>
  <c r="AK19" i="5"/>
  <c r="AM19" i="5"/>
  <c r="AN19" i="5"/>
  <c r="AO19" i="5"/>
  <c r="AU19" i="5"/>
  <c r="AV19" i="5"/>
  <c r="AX19" i="5"/>
  <c r="AZ19" i="5"/>
  <c r="BA19" i="5"/>
  <c r="BB19" i="5"/>
  <c r="BC19" i="5"/>
  <c r="BD19" i="5"/>
  <c r="BF19" i="5"/>
  <c r="BG19" i="5"/>
  <c r="DO19" i="5"/>
  <c r="DP19" i="5"/>
  <c r="EE19" i="5"/>
  <c r="EF19" i="5"/>
  <c r="EG19" i="5"/>
  <c r="EH19" i="5"/>
  <c r="EI19" i="5"/>
  <c r="EJ19" i="5"/>
  <c r="EK19" i="5"/>
  <c r="EL19" i="5"/>
  <c r="EM19" i="5"/>
  <c r="G20" i="5"/>
  <c r="J20" i="5"/>
  <c r="K20" i="5"/>
  <c r="O20" i="5" s="1"/>
  <c r="S20" i="5"/>
  <c r="U20" i="5"/>
  <c r="V20" i="5"/>
  <c r="AB20" i="5"/>
  <c r="AF20" i="5"/>
  <c r="AJ20" i="5"/>
  <c r="AK20" i="5"/>
  <c r="AM20" i="5"/>
  <c r="AN20" i="5"/>
  <c r="AO20" i="5"/>
  <c r="AU20" i="5"/>
  <c r="AV20" i="5"/>
  <c r="AX20" i="5"/>
  <c r="AZ20" i="5"/>
  <c r="BA20" i="5"/>
  <c r="BB20" i="5"/>
  <c r="BC20" i="5"/>
  <c r="BF20" i="5"/>
  <c r="BG20" i="5"/>
  <c r="DO20" i="5"/>
  <c r="DP20" i="5"/>
  <c r="EE20" i="5"/>
  <c r="EF20" i="5"/>
  <c r="EG20" i="5"/>
  <c r="EH20" i="5"/>
  <c r="EI20" i="5"/>
  <c r="EJ20" i="5"/>
  <c r="EK20" i="5"/>
  <c r="EL20" i="5"/>
  <c r="EM20" i="5"/>
  <c r="D21" i="5"/>
  <c r="G21" i="5"/>
  <c r="H21" i="5"/>
  <c r="J21" i="5"/>
  <c r="K21" i="5"/>
  <c r="P21" i="5" s="1"/>
  <c r="P17" i="5" s="1"/>
  <c r="S21" i="5"/>
  <c r="U21" i="5"/>
  <c r="AB21" i="5" s="1"/>
  <c r="V21" i="5"/>
  <c r="AF21" i="5"/>
  <c r="AK21" i="5"/>
  <c r="AM21" i="5"/>
  <c r="AN21" i="5"/>
  <c r="AO21" i="5"/>
  <c r="AU21" i="5"/>
  <c r="AV21" i="5"/>
  <c r="AX21" i="5"/>
  <c r="AZ21" i="5"/>
  <c r="BA21" i="5"/>
  <c r="BB21" i="5"/>
  <c r="BC21" i="5"/>
  <c r="BF21" i="5"/>
  <c r="BG21" i="5"/>
  <c r="DO21" i="5"/>
  <c r="DP21" i="5"/>
  <c r="EE21" i="5"/>
  <c r="EF21" i="5"/>
  <c r="EG21" i="5"/>
  <c r="EH21" i="5"/>
  <c r="EI21" i="5"/>
  <c r="EJ21" i="5"/>
  <c r="EK21" i="5"/>
  <c r="EL21" i="5"/>
  <c r="EM21" i="5"/>
  <c r="D22" i="5"/>
  <c r="G22" i="5"/>
  <c r="H22" i="5"/>
  <c r="J22" i="5"/>
  <c r="K22" i="5"/>
  <c r="L22" i="5" s="1"/>
  <c r="M22" i="5"/>
  <c r="O22" i="5"/>
  <c r="S22" i="5"/>
  <c r="U22" i="5"/>
  <c r="V22" i="5"/>
  <c r="AB22" i="5"/>
  <c r="AF22" i="5"/>
  <c r="AK22" i="5"/>
  <c r="AM22" i="5"/>
  <c r="AN22" i="5"/>
  <c r="AO22" i="5"/>
  <c r="AU22" i="5"/>
  <c r="AV22" i="5"/>
  <c r="AX22" i="5"/>
  <c r="AZ22" i="5"/>
  <c r="BA22" i="5"/>
  <c r="BB22" i="5"/>
  <c r="BC22" i="5"/>
  <c r="BF22" i="5"/>
  <c r="BG22" i="5"/>
  <c r="DO22" i="5"/>
  <c r="DP22" i="5"/>
  <c r="EE22" i="5"/>
  <c r="EF22" i="5"/>
  <c r="EG22" i="5"/>
  <c r="EH22" i="5"/>
  <c r="EI22" i="5"/>
  <c r="EJ22" i="5"/>
  <c r="EK22" i="5"/>
  <c r="EL22" i="5"/>
  <c r="EM22" i="5"/>
  <c r="E23" i="5"/>
  <c r="G23" i="5" s="1"/>
  <c r="F23" i="5"/>
  <c r="I23" i="5"/>
  <c r="J23" i="5" s="1"/>
  <c r="Q23" i="5"/>
  <c r="R23" i="5"/>
  <c r="T23" i="5"/>
  <c r="W23" i="5"/>
  <c r="X23" i="5"/>
  <c r="AC23" i="5"/>
  <c r="AD23" i="5"/>
  <c r="AE23" i="5"/>
  <c r="AP23" i="5"/>
  <c r="AQ23" i="5"/>
  <c r="AR23" i="5"/>
  <c r="AS23" i="5"/>
  <c r="AT23" i="5"/>
  <c r="AW23" i="5"/>
  <c r="AY23" i="5"/>
  <c r="BE23" i="5"/>
  <c r="BH23" i="5"/>
  <c r="BI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F42" i="5" s="1"/>
  <c r="CF52" i="5" s="1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V42" i="5" s="1"/>
  <c r="CV52" i="5" s="1"/>
  <c r="CW23" i="5"/>
  <c r="CX23" i="5"/>
  <c r="CY23" i="5"/>
  <c r="CZ23" i="5"/>
  <c r="DA23" i="5"/>
  <c r="DB23" i="5"/>
  <c r="DC23" i="5"/>
  <c r="DD23" i="5"/>
  <c r="DE23" i="5"/>
  <c r="DF23" i="5"/>
  <c r="DG23" i="5"/>
  <c r="DH23" i="5"/>
  <c r="DH42" i="5" s="1"/>
  <c r="DI23" i="5"/>
  <c r="DJ23" i="5"/>
  <c r="DQ23" i="5"/>
  <c r="DR23" i="5"/>
  <c r="DR42" i="5" s="1"/>
  <c r="DR68" i="5" s="1"/>
  <c r="DS23" i="5"/>
  <c r="DT23" i="5"/>
  <c r="DU23" i="5"/>
  <c r="DV23" i="5"/>
  <c r="DW23" i="5"/>
  <c r="DX23" i="5"/>
  <c r="DY23" i="5"/>
  <c r="DZ23" i="5"/>
  <c r="EA23" i="5"/>
  <c r="EB23" i="5"/>
  <c r="EC23" i="5"/>
  <c r="ED23" i="5"/>
  <c r="EK23" i="5" s="1"/>
  <c r="D24" i="5"/>
  <c r="G24" i="5"/>
  <c r="H24" i="5"/>
  <c r="J24" i="5"/>
  <c r="K24" i="5"/>
  <c r="L24" i="5" s="1"/>
  <c r="O24" i="5"/>
  <c r="S24" i="5"/>
  <c r="U24" i="5"/>
  <c r="V24" i="5"/>
  <c r="AF24" i="5"/>
  <c r="AJ24" i="5"/>
  <c r="AK24" i="5"/>
  <c r="AM24" i="5"/>
  <c r="AN24" i="5"/>
  <c r="AO24" i="5"/>
  <c r="AU24" i="5"/>
  <c r="AV24" i="5"/>
  <c r="AX24" i="5"/>
  <c r="AZ24" i="5"/>
  <c r="BA24" i="5"/>
  <c r="BB24" i="5"/>
  <c r="BC24" i="5"/>
  <c r="BD24" i="5"/>
  <c r="BF24" i="5"/>
  <c r="BG24" i="5"/>
  <c r="DO24" i="5"/>
  <c r="DP24" i="5"/>
  <c r="EE24" i="5"/>
  <c r="EF24" i="5"/>
  <c r="EG24" i="5"/>
  <c r="EH24" i="5"/>
  <c r="EI24" i="5"/>
  <c r="EJ24" i="5"/>
  <c r="EK24" i="5"/>
  <c r="EL24" i="5"/>
  <c r="EM24" i="5"/>
  <c r="D25" i="5"/>
  <c r="G25" i="5"/>
  <c r="H25" i="5"/>
  <c r="J25" i="5"/>
  <c r="K25" i="5"/>
  <c r="S25" i="5"/>
  <c r="U25" i="5"/>
  <c r="AB25" i="5" s="1"/>
  <c r="V25" i="5"/>
  <c r="AG25" i="5"/>
  <c r="AH25" i="5"/>
  <c r="AJ25" i="5"/>
  <c r="AM25" i="5"/>
  <c r="AN25" i="5"/>
  <c r="AO25" i="5"/>
  <c r="AU25" i="5"/>
  <c r="AV25" i="5"/>
  <c r="AX25" i="5"/>
  <c r="AZ25" i="5"/>
  <c r="BA25" i="5"/>
  <c r="BB25" i="5"/>
  <c r="BC25" i="5"/>
  <c r="BD25" i="5"/>
  <c r="BF25" i="5"/>
  <c r="BG25" i="5"/>
  <c r="DO25" i="5"/>
  <c r="DP25" i="5"/>
  <c r="EE25" i="5"/>
  <c r="EF25" i="5"/>
  <c r="EG25" i="5"/>
  <c r="EH25" i="5"/>
  <c r="EJ25" i="5"/>
  <c r="EK25" i="5"/>
  <c r="EL25" i="5"/>
  <c r="D26" i="5"/>
  <c r="G26" i="5"/>
  <c r="H26" i="5"/>
  <c r="J26" i="5"/>
  <c r="K26" i="5"/>
  <c r="P26" i="5"/>
  <c r="S26" i="5"/>
  <c r="U26" i="5"/>
  <c r="AB26" i="5" s="1"/>
  <c r="V26" i="5"/>
  <c r="AF26" i="5"/>
  <c r="AK26" i="5"/>
  <c r="AM26" i="5"/>
  <c r="AN26" i="5"/>
  <c r="AN23" i="5" s="1"/>
  <c r="AO26" i="5"/>
  <c r="AU26" i="5"/>
  <c r="AV26" i="5"/>
  <c r="AX26" i="5"/>
  <c r="AZ26" i="5"/>
  <c r="BA26" i="5"/>
  <c r="BB26" i="5"/>
  <c r="BC26" i="5"/>
  <c r="BF26" i="5"/>
  <c r="BG26" i="5"/>
  <c r="DO26" i="5"/>
  <c r="DP26" i="5"/>
  <c r="EE26" i="5"/>
  <c r="EF26" i="5"/>
  <c r="EG26" i="5"/>
  <c r="EH26" i="5"/>
  <c r="EI26" i="5"/>
  <c r="EJ26" i="5"/>
  <c r="EK26" i="5"/>
  <c r="EL26" i="5"/>
  <c r="EM26" i="5"/>
  <c r="EB27" i="5"/>
  <c r="EC27" i="5"/>
  <c r="EF27" i="5" s="1"/>
  <c r="ED27" i="5"/>
  <c r="EE27" i="5"/>
  <c r="EJ27" i="5"/>
  <c r="EL27" i="5"/>
  <c r="EE28" i="5"/>
  <c r="EF28" i="5"/>
  <c r="EG28" i="5"/>
  <c r="EH28" i="5"/>
  <c r="EJ28" i="5"/>
  <c r="EL28" i="5"/>
  <c r="D29" i="5"/>
  <c r="E29" i="5"/>
  <c r="F29" i="5"/>
  <c r="I29" i="5"/>
  <c r="K29" i="5"/>
  <c r="P29" i="5"/>
  <c r="Q29" i="5"/>
  <c r="R29" i="5"/>
  <c r="T29" i="5"/>
  <c r="W29" i="5"/>
  <c r="X29" i="5"/>
  <c r="AC29" i="5"/>
  <c r="AD29" i="5"/>
  <c r="AE29" i="5"/>
  <c r="AF29" i="5"/>
  <c r="AJ29" i="5"/>
  <c r="AP29" i="5"/>
  <c r="AQ29" i="5"/>
  <c r="AR29" i="5"/>
  <c r="AS29" i="5"/>
  <c r="AT29" i="5"/>
  <c r="AU29" i="5" s="1"/>
  <c r="AW29" i="5"/>
  <c r="AY29" i="5"/>
  <c r="BA29" i="5"/>
  <c r="BB29" i="5"/>
  <c r="BC29" i="5"/>
  <c r="BE29" i="5"/>
  <c r="BF29" i="5"/>
  <c r="BH29" i="5"/>
  <c r="BI29" i="5"/>
  <c r="BM29" i="5"/>
  <c r="BN29" i="5"/>
  <c r="BO29" i="5"/>
  <c r="BP29" i="5"/>
  <c r="DE29" i="5"/>
  <c r="DF29" i="5"/>
  <c r="DG29" i="5"/>
  <c r="DH29" i="5"/>
  <c r="DI29" i="5"/>
  <c r="DJ29" i="5"/>
  <c r="DQ29" i="5"/>
  <c r="DR29" i="5"/>
  <c r="DS29" i="5"/>
  <c r="DS42" i="5" s="1"/>
  <c r="DT29" i="5"/>
  <c r="DU29" i="5"/>
  <c r="DV29" i="5"/>
  <c r="DW29" i="5"/>
  <c r="DX29" i="5"/>
  <c r="DY29" i="5"/>
  <c r="DZ29" i="5"/>
  <c r="EA29" i="5"/>
  <c r="EB29" i="5"/>
  <c r="EC29" i="5"/>
  <c r="EH29" i="5" s="1"/>
  <c r="ED29" i="5"/>
  <c r="EI29" i="5" s="1"/>
  <c r="EG29" i="5"/>
  <c r="EL29" i="5"/>
  <c r="EM29" i="5"/>
  <c r="G30" i="5"/>
  <c r="H30" i="5"/>
  <c r="J30" i="5"/>
  <c r="L30" i="5"/>
  <c r="L29" i="5" s="1"/>
  <c r="M30" i="5"/>
  <c r="M29" i="5" s="1"/>
  <c r="O30" i="5"/>
  <c r="O29" i="5" s="1"/>
  <c r="S30" i="5"/>
  <c r="S29" i="5" s="1"/>
  <c r="U30" i="5"/>
  <c r="U29" i="5" s="1"/>
  <c r="V30" i="5"/>
  <c r="V29" i="5" s="1"/>
  <c r="AG30" i="5"/>
  <c r="AG29" i="5" s="1"/>
  <c r="AH30" i="5"/>
  <c r="AH29" i="5" s="1"/>
  <c r="AI30" i="5"/>
  <c r="AI29" i="5" s="1"/>
  <c r="AJ30" i="5"/>
  <c r="AK30" i="5"/>
  <c r="AK29" i="5" s="1"/>
  <c r="AM30" i="5"/>
  <c r="AM29" i="5" s="1"/>
  <c r="AN30" i="5"/>
  <c r="AN29" i="5" s="1"/>
  <c r="AO30" i="5"/>
  <c r="AO29" i="5" s="1"/>
  <c r="AU30" i="5"/>
  <c r="AX30" i="5"/>
  <c r="AX29" i="5" s="1"/>
  <c r="AZ30" i="5"/>
  <c r="AZ29" i="5" s="1"/>
  <c r="BD30" i="5"/>
  <c r="BD29" i="5" s="1"/>
  <c r="BG30" i="5"/>
  <c r="BG29" i="5" s="1"/>
  <c r="DO30" i="5"/>
  <c r="DO29" i="5" s="1"/>
  <c r="DP30" i="5"/>
  <c r="DP29" i="5" s="1"/>
  <c r="EE30" i="5"/>
  <c r="EF30" i="5"/>
  <c r="EG30" i="5"/>
  <c r="EH30" i="5"/>
  <c r="EI30" i="5"/>
  <c r="EJ30" i="5"/>
  <c r="EK30" i="5"/>
  <c r="EL30" i="5"/>
  <c r="EM30" i="5"/>
  <c r="E31" i="5"/>
  <c r="F31" i="5"/>
  <c r="I31" i="5"/>
  <c r="J31" i="5" s="1"/>
  <c r="Q31" i="5"/>
  <c r="T31" i="5"/>
  <c r="W31" i="5"/>
  <c r="X31" i="5"/>
  <c r="AC31" i="5"/>
  <c r="AD31" i="5"/>
  <c r="AE31" i="5"/>
  <c r="AP31" i="5"/>
  <c r="AQ31" i="5"/>
  <c r="AQ42" i="5" s="1"/>
  <c r="AR31" i="5"/>
  <c r="AS31" i="5"/>
  <c r="AT31" i="5"/>
  <c r="AU31" i="5" s="1"/>
  <c r="AW31" i="5"/>
  <c r="AX31" i="5" s="1"/>
  <c r="AY31" i="5"/>
  <c r="BE31" i="5"/>
  <c r="BH31" i="5"/>
  <c r="BI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D31" i="5"/>
  <c r="ED42" i="5" s="1"/>
  <c r="ED70" i="5" s="1"/>
  <c r="EL31" i="5"/>
  <c r="EM31" i="5"/>
  <c r="D32" i="5"/>
  <c r="D31" i="5" s="1"/>
  <c r="G32" i="5"/>
  <c r="H32" i="5"/>
  <c r="H31" i="5" s="1"/>
  <c r="J32" i="5"/>
  <c r="K32" i="5"/>
  <c r="L32" i="5" s="1"/>
  <c r="O32" i="5"/>
  <c r="R32" i="5"/>
  <c r="R31" i="5" s="1"/>
  <c r="V32" i="5"/>
  <c r="AF32" i="5"/>
  <c r="AK32" i="5"/>
  <c r="AK31" i="5" s="1"/>
  <c r="AM32" i="5"/>
  <c r="AN32" i="5"/>
  <c r="AO32" i="5"/>
  <c r="AU32" i="5"/>
  <c r="AV32" i="5"/>
  <c r="AX32" i="5"/>
  <c r="AZ32" i="5"/>
  <c r="BA32" i="5"/>
  <c r="BB32" i="5"/>
  <c r="BC32" i="5"/>
  <c r="BF32" i="5"/>
  <c r="BF31" i="5" s="1"/>
  <c r="BG32" i="5"/>
  <c r="DO32" i="5"/>
  <c r="DP32" i="5"/>
  <c r="EC32" i="5"/>
  <c r="EC31" i="5" s="1"/>
  <c r="EE32" i="5"/>
  <c r="EF32" i="5"/>
  <c r="EG32" i="5"/>
  <c r="EH32" i="5"/>
  <c r="EI32" i="5"/>
  <c r="EJ32" i="5"/>
  <c r="EK32" i="5"/>
  <c r="EL32" i="5"/>
  <c r="EM32" i="5"/>
  <c r="G33" i="5"/>
  <c r="J33" i="5"/>
  <c r="L33" i="5"/>
  <c r="M33" i="5"/>
  <c r="O33" i="5"/>
  <c r="V33" i="5"/>
  <c r="AB33" i="5"/>
  <c r="AH33" i="5"/>
  <c r="AM33" i="5"/>
  <c r="AN33" i="5"/>
  <c r="AO33" i="5"/>
  <c r="AU33" i="5"/>
  <c r="AV33" i="5"/>
  <c r="AX33" i="5"/>
  <c r="AZ33" i="5"/>
  <c r="BA33" i="5"/>
  <c r="BB33" i="5"/>
  <c r="BC33" i="5"/>
  <c r="BD33" i="5"/>
  <c r="BG33" i="5"/>
  <c r="DO33" i="5"/>
  <c r="DP33" i="5"/>
  <c r="EE33" i="5"/>
  <c r="EF33" i="5"/>
  <c r="EG33" i="5"/>
  <c r="EH33" i="5"/>
  <c r="EI33" i="5"/>
  <c r="EJ33" i="5"/>
  <c r="EK33" i="5"/>
  <c r="EL33" i="5"/>
  <c r="EM33" i="5"/>
  <c r="G34" i="5"/>
  <c r="J34" i="5"/>
  <c r="L34" i="5"/>
  <c r="M34" i="5"/>
  <c r="O34" i="5"/>
  <c r="S34" i="5"/>
  <c r="V34" i="5"/>
  <c r="AB34" i="5"/>
  <c r="AG34" i="5"/>
  <c r="AH34" i="5"/>
  <c r="AJ34" i="5"/>
  <c r="AM34" i="5"/>
  <c r="AN34" i="5"/>
  <c r="AO34" i="5"/>
  <c r="AU34" i="5"/>
  <c r="AX34" i="5"/>
  <c r="AZ34" i="5"/>
  <c r="BA34" i="5"/>
  <c r="BB34" i="5"/>
  <c r="BD34" i="5"/>
  <c r="BG34" i="5"/>
  <c r="DO34" i="5"/>
  <c r="DP34" i="5"/>
  <c r="D35" i="5"/>
  <c r="E35" i="5"/>
  <c r="F35" i="5"/>
  <c r="I35" i="5"/>
  <c r="K35" i="5"/>
  <c r="P35" i="5"/>
  <c r="Q35" i="5"/>
  <c r="R35" i="5"/>
  <c r="S35" i="5"/>
  <c r="T35" i="5"/>
  <c r="T42" i="5" s="1"/>
  <c r="T50" i="5" s="1"/>
  <c r="U35" i="5"/>
  <c r="W35" i="5"/>
  <c r="X35" i="5"/>
  <c r="AC35" i="5"/>
  <c r="AD35" i="5"/>
  <c r="AE35" i="5"/>
  <c r="AF35" i="5"/>
  <c r="BD35" i="5" s="1"/>
  <c r="AG35" i="5"/>
  <c r="AI35" i="5"/>
  <c r="AJ35" i="5"/>
  <c r="AK35" i="5"/>
  <c r="AP35" i="5"/>
  <c r="BC35" i="5" s="1"/>
  <c r="AQ35" i="5"/>
  <c r="AS35" i="5"/>
  <c r="AT35" i="5"/>
  <c r="AU35" i="5"/>
  <c r="BA35" i="5"/>
  <c r="BB35" i="5"/>
  <c r="BE35" i="5"/>
  <c r="BG35" i="5"/>
  <c r="BH35" i="5"/>
  <c r="BI35" i="5"/>
  <c r="DO35" i="5"/>
  <c r="DP35" i="5"/>
  <c r="DU35" i="5"/>
  <c r="DV35" i="5"/>
  <c r="DW35" i="5"/>
  <c r="DX35" i="5"/>
  <c r="DY35" i="5"/>
  <c r="DZ35" i="5"/>
  <c r="EA35" i="5"/>
  <c r="EB35" i="5"/>
  <c r="EC35" i="5"/>
  <c r="ED35" i="5"/>
  <c r="EJ35" i="5"/>
  <c r="EL35" i="5"/>
  <c r="G36" i="5"/>
  <c r="J36" i="5"/>
  <c r="L36" i="5"/>
  <c r="L35" i="5" s="1"/>
  <c r="M36" i="5"/>
  <c r="M35" i="5" s="1"/>
  <c r="O36" i="5"/>
  <c r="O35" i="5" s="1"/>
  <c r="V36" i="5"/>
  <c r="V35" i="5" s="1"/>
  <c r="AB36" i="5"/>
  <c r="AB35" i="5" s="1"/>
  <c r="AH36" i="5"/>
  <c r="AH35" i="5" s="1"/>
  <c r="AM36" i="5"/>
  <c r="AM35" i="5" s="1"/>
  <c r="AN36" i="5"/>
  <c r="AN35" i="5" s="1"/>
  <c r="AO36" i="5"/>
  <c r="AO35" i="5" s="1"/>
  <c r="AU36" i="5"/>
  <c r="AV36" i="5"/>
  <c r="AX36" i="5"/>
  <c r="AZ36" i="5"/>
  <c r="BA36" i="5"/>
  <c r="BB36" i="5"/>
  <c r="BC36" i="5"/>
  <c r="BD36" i="5"/>
  <c r="BF36" i="5"/>
  <c r="BG36" i="5"/>
  <c r="DO36" i="5"/>
  <c r="DP36" i="5"/>
  <c r="EE36" i="5"/>
  <c r="EF36" i="5"/>
  <c r="EG36" i="5"/>
  <c r="EH36" i="5"/>
  <c r="EJ36" i="5"/>
  <c r="EL36" i="5"/>
  <c r="E37" i="5"/>
  <c r="F37" i="5"/>
  <c r="G37" i="5" s="1"/>
  <c r="I37" i="5"/>
  <c r="J37" i="5" s="1"/>
  <c r="Q37" i="5"/>
  <c r="R37" i="5"/>
  <c r="T37" i="5"/>
  <c r="W37" i="5"/>
  <c r="X37" i="5"/>
  <c r="AC37" i="5"/>
  <c r="AD37" i="5"/>
  <c r="AE37" i="5"/>
  <c r="AF37" i="5"/>
  <c r="AP37" i="5"/>
  <c r="AR37" i="5"/>
  <c r="AS37" i="5"/>
  <c r="AS42" i="5" s="1"/>
  <c r="AT37" i="5"/>
  <c r="AU37" i="5" s="1"/>
  <c r="AV37" i="5"/>
  <c r="AW37" i="5"/>
  <c r="AX37" i="5" s="1"/>
  <c r="AY37" i="5"/>
  <c r="BE37" i="5"/>
  <c r="BH37" i="5"/>
  <c r="BI37" i="5"/>
  <c r="BM37" i="5"/>
  <c r="BN37" i="5"/>
  <c r="BO37" i="5"/>
  <c r="BP37" i="5"/>
  <c r="BR37" i="5"/>
  <c r="BS37" i="5"/>
  <c r="BT37" i="5"/>
  <c r="BU37" i="5"/>
  <c r="BU42" i="5" s="1"/>
  <c r="BU52" i="5" s="1"/>
  <c r="BV37" i="5"/>
  <c r="BW37" i="5"/>
  <c r="BX37" i="5"/>
  <c r="BY37" i="5"/>
  <c r="BY42" i="5" s="1"/>
  <c r="BY52" i="5" s="1"/>
  <c r="BZ37" i="5"/>
  <c r="CA37" i="5"/>
  <c r="CB37" i="5"/>
  <c r="CC37" i="5"/>
  <c r="CC42" i="5" s="1"/>
  <c r="CC52" i="5" s="1"/>
  <c r="CD37" i="5"/>
  <c r="CE37" i="5"/>
  <c r="CF37" i="5"/>
  <c r="CG37" i="5"/>
  <c r="CG42" i="5" s="1"/>
  <c r="CG52" i="5" s="1"/>
  <c r="CH37" i="5"/>
  <c r="CI37" i="5"/>
  <c r="CJ37" i="5"/>
  <c r="CK37" i="5"/>
  <c r="CK42" i="5" s="1"/>
  <c r="CK52" i="5" s="1"/>
  <c r="CL37" i="5"/>
  <c r="CM37" i="5"/>
  <c r="CN37" i="5"/>
  <c r="CO37" i="5"/>
  <c r="CO42" i="5" s="1"/>
  <c r="CO52" i="5" s="1"/>
  <c r="CP37" i="5"/>
  <c r="CQ37" i="5"/>
  <c r="CR37" i="5"/>
  <c r="CS37" i="5"/>
  <c r="CS42" i="5" s="1"/>
  <c r="CT37" i="5"/>
  <c r="CU37" i="5"/>
  <c r="CV37" i="5"/>
  <c r="CW37" i="5"/>
  <c r="CW42" i="5" s="1"/>
  <c r="CW52" i="5" s="1"/>
  <c r="CX37" i="5"/>
  <c r="CY37" i="5"/>
  <c r="CZ37" i="5"/>
  <c r="DA37" i="5"/>
  <c r="DA42" i="5" s="1"/>
  <c r="DA52" i="5" s="1"/>
  <c r="DB37" i="5"/>
  <c r="DC37" i="5"/>
  <c r="DD37" i="5"/>
  <c r="DE37" i="5"/>
  <c r="DF37" i="5"/>
  <c r="DG37" i="5"/>
  <c r="DH37" i="5"/>
  <c r="DI37" i="5"/>
  <c r="DJ37" i="5"/>
  <c r="DQ37" i="5"/>
  <c r="DR37" i="5"/>
  <c r="DS37" i="5"/>
  <c r="DT37" i="5"/>
  <c r="DU37" i="5"/>
  <c r="DV37" i="5"/>
  <c r="DW37" i="5"/>
  <c r="DX37" i="5"/>
  <c r="DY37" i="5"/>
  <c r="DZ37" i="5"/>
  <c r="EA37" i="5"/>
  <c r="EC37" i="5"/>
  <c r="ED37" i="5"/>
  <c r="EK37" i="5"/>
  <c r="D38" i="5"/>
  <c r="D37" i="5" s="1"/>
  <c r="G38" i="5"/>
  <c r="H38" i="5"/>
  <c r="J38" i="5"/>
  <c r="K38" i="5"/>
  <c r="K37" i="5" s="1"/>
  <c r="S38" i="5"/>
  <c r="U38" i="5"/>
  <c r="AB38" i="5" s="1"/>
  <c r="V38" i="5"/>
  <c r="AG38" i="5"/>
  <c r="AH38" i="5"/>
  <c r="AI38" i="5"/>
  <c r="AI37" i="5" s="1"/>
  <c r="AJ38" i="5"/>
  <c r="AK38" i="5"/>
  <c r="AK37" i="5" s="1"/>
  <c r="AM38" i="5"/>
  <c r="AM37" i="5" s="1"/>
  <c r="AN38" i="5"/>
  <c r="AN37" i="5" s="1"/>
  <c r="AO38" i="5"/>
  <c r="AQ38" i="5"/>
  <c r="AQ37" i="5" s="1"/>
  <c r="AU38" i="5"/>
  <c r="AV38" i="5"/>
  <c r="AX38" i="5"/>
  <c r="AZ38" i="5"/>
  <c r="BA38" i="5"/>
  <c r="BA37" i="5" s="1"/>
  <c r="BB38" i="5"/>
  <c r="BB37" i="5" s="1"/>
  <c r="BC38" i="5"/>
  <c r="BD38" i="5"/>
  <c r="BF38" i="5"/>
  <c r="BF37" i="5" s="1"/>
  <c r="BG38" i="5"/>
  <c r="BG37" i="5" s="1"/>
  <c r="BQ38" i="5"/>
  <c r="BQ37" i="5" s="1"/>
  <c r="BQ42" i="5" s="1"/>
  <c r="BQ52" i="5" s="1"/>
  <c r="DO38" i="5"/>
  <c r="DO37" i="5" s="1"/>
  <c r="DP38" i="5"/>
  <c r="DP37" i="5" s="1"/>
  <c r="EB38" i="5"/>
  <c r="EF38" i="5" s="1"/>
  <c r="EE38" i="5"/>
  <c r="EG38" i="5"/>
  <c r="EH38" i="5"/>
  <c r="EI38" i="5"/>
  <c r="EK38" i="5"/>
  <c r="EL38" i="5"/>
  <c r="EM38" i="5"/>
  <c r="G39" i="5"/>
  <c r="J39" i="5"/>
  <c r="L39" i="5"/>
  <c r="M39" i="5"/>
  <c r="O39" i="5"/>
  <c r="S39" i="5"/>
  <c r="U39" i="5"/>
  <c r="AB39" i="5" s="1"/>
  <c r="V39" i="5"/>
  <c r="AG39" i="5"/>
  <c r="AH39" i="5"/>
  <c r="AJ39" i="5"/>
  <c r="AM39" i="5"/>
  <c r="AN39" i="5"/>
  <c r="AO39" i="5"/>
  <c r="AU39" i="5"/>
  <c r="AV39" i="5"/>
  <c r="AX39" i="5"/>
  <c r="AZ39" i="5"/>
  <c r="BC39" i="5"/>
  <c r="BD39" i="5"/>
  <c r="BF39" i="5"/>
  <c r="BG39" i="5"/>
  <c r="DO39" i="5"/>
  <c r="EE39" i="5"/>
  <c r="EF39" i="5"/>
  <c r="EG39" i="5"/>
  <c r="EH39" i="5"/>
  <c r="EI39" i="5"/>
  <c r="EJ39" i="5"/>
  <c r="EK39" i="5"/>
  <c r="EL39" i="5"/>
  <c r="EM39" i="5"/>
  <c r="D40" i="5"/>
  <c r="E40" i="5"/>
  <c r="E42" i="5" s="1"/>
  <c r="F40" i="5"/>
  <c r="J40" i="5" s="1"/>
  <c r="I40" i="5"/>
  <c r="K40" i="5"/>
  <c r="M40" i="5"/>
  <c r="P40" i="5"/>
  <c r="Q40" i="5"/>
  <c r="R40" i="5"/>
  <c r="T40" i="5"/>
  <c r="W40" i="5"/>
  <c r="W42" i="5" s="1"/>
  <c r="Z41" i="5" s="1"/>
  <c r="Z40" i="5" s="1"/>
  <c r="X40" i="5"/>
  <c r="AC40" i="5"/>
  <c r="AD40" i="5"/>
  <c r="AD42" i="5" s="1"/>
  <c r="AE40" i="5"/>
  <c r="AE42" i="5" s="1"/>
  <c r="AF40" i="5"/>
  <c r="AP40" i="5"/>
  <c r="AQ40" i="5"/>
  <c r="AR40" i="5"/>
  <c r="AS40" i="5"/>
  <c r="AT40" i="5"/>
  <c r="AU40" i="5" s="1"/>
  <c r="AW40" i="5"/>
  <c r="AY40" i="5"/>
  <c r="AY42" i="5" s="1"/>
  <c r="BB40" i="5"/>
  <c r="BE40" i="5"/>
  <c r="BH40" i="5"/>
  <c r="BI40" i="5"/>
  <c r="BM40" i="5"/>
  <c r="BN40" i="5"/>
  <c r="BO40" i="5"/>
  <c r="BP40" i="5"/>
  <c r="DO40" i="5"/>
  <c r="EE40" i="5"/>
  <c r="EF40" i="5"/>
  <c r="EG40" i="5"/>
  <c r="EH40" i="5"/>
  <c r="EI40" i="5"/>
  <c r="EJ40" i="5"/>
  <c r="EK40" i="5"/>
  <c r="EL40" i="5"/>
  <c r="EM40" i="5"/>
  <c r="G41" i="5"/>
  <c r="J41" i="5"/>
  <c r="L41" i="5"/>
  <c r="L40" i="5" s="1"/>
  <c r="M41" i="5"/>
  <c r="O41" i="5"/>
  <c r="O40" i="5" s="1"/>
  <c r="S41" i="5"/>
  <c r="S40" i="5" s="1"/>
  <c r="U41" i="5"/>
  <c r="U40" i="5" s="1"/>
  <c r="V41" i="5"/>
  <c r="V40" i="5" s="1"/>
  <c r="AB41" i="5"/>
  <c r="AB40" i="5" s="1"/>
  <c r="AG41" i="5"/>
  <c r="AG40" i="5" s="1"/>
  <c r="AH41" i="5"/>
  <c r="AH40" i="5" s="1"/>
  <c r="AI41" i="5"/>
  <c r="AI40" i="5" s="1"/>
  <c r="AJ41" i="5"/>
  <c r="AJ40" i="5" s="1"/>
  <c r="AK41" i="5"/>
  <c r="AK40" i="5" s="1"/>
  <c r="AM41" i="5"/>
  <c r="AM40" i="5" s="1"/>
  <c r="AN41" i="5"/>
  <c r="AN40" i="5" s="1"/>
  <c r="AO41" i="5"/>
  <c r="AO40" i="5" s="1"/>
  <c r="AU41" i="5"/>
  <c r="AV41" i="5"/>
  <c r="AX41" i="5"/>
  <c r="AZ41" i="5"/>
  <c r="AZ40" i="5" s="1"/>
  <c r="BA41" i="5"/>
  <c r="BA40" i="5" s="1"/>
  <c r="BB41" i="5"/>
  <c r="BC41" i="5"/>
  <c r="BC40" i="5" s="1"/>
  <c r="BD41" i="5"/>
  <c r="BD40" i="5" s="1"/>
  <c r="BF41" i="5"/>
  <c r="BF40" i="5" s="1"/>
  <c r="BG41" i="5"/>
  <c r="BG40" i="5" s="1"/>
  <c r="DO41" i="5"/>
  <c r="EE41" i="5"/>
  <c r="EF41" i="5"/>
  <c r="EG41" i="5"/>
  <c r="EH41" i="5"/>
  <c r="EI41" i="5"/>
  <c r="EJ41" i="5"/>
  <c r="EK41" i="5"/>
  <c r="EL41" i="5"/>
  <c r="EM41" i="5"/>
  <c r="I42" i="5"/>
  <c r="AR42" i="5"/>
  <c r="BP42" i="5"/>
  <c r="BP52" i="5" s="1"/>
  <c r="BV42" i="5"/>
  <c r="BV52" i="5" s="1"/>
  <c r="CL42" i="5"/>
  <c r="CL52" i="5" s="1"/>
  <c r="DB42" i="5"/>
  <c r="DB52" i="5" s="1"/>
  <c r="DG42" i="5"/>
  <c r="DK42" i="5" s="1"/>
  <c r="DN42" i="5"/>
  <c r="DV42" i="5"/>
  <c r="DV70" i="5" s="1"/>
  <c r="DW42" i="5"/>
  <c r="DW70" i="5" s="1"/>
  <c r="EA42" i="5"/>
  <c r="EA70" i="5" s="1"/>
  <c r="DO43" i="5"/>
  <c r="DO44" i="5"/>
  <c r="DO45" i="5"/>
  <c r="W46" i="5"/>
  <c r="DO46" i="5"/>
  <c r="DO47" i="5"/>
  <c r="W48" i="5"/>
  <c r="DO48" i="5"/>
  <c r="DO49" i="5"/>
  <c r="W50" i="5"/>
  <c r="DO50" i="5"/>
  <c r="DO51" i="5"/>
  <c r="BR52" i="5"/>
  <c r="BZ52" i="5"/>
  <c r="CD52" i="5"/>
  <c r="CH52" i="5"/>
  <c r="CP52" i="5"/>
  <c r="CT52" i="5"/>
  <c r="CX52" i="5"/>
  <c r="CY52" i="5"/>
  <c r="DO52" i="5"/>
  <c r="DO53" i="5"/>
  <c r="DO54" i="5"/>
  <c r="DO55" i="5"/>
  <c r="DO56" i="5"/>
  <c r="CX57" i="5"/>
  <c r="DO57" i="5"/>
  <c r="CX58" i="5"/>
  <c r="CY58" i="5"/>
  <c r="DO58" i="5"/>
  <c r="DO59" i="5"/>
  <c r="DO60" i="5"/>
  <c r="DO61" i="5"/>
  <c r="DO62" i="5"/>
  <c r="DF64" i="5"/>
  <c r="DJ64" i="5"/>
  <c r="DJ66" i="5"/>
  <c r="DS68" i="5"/>
  <c r="EA72" i="5"/>
  <c r="EA74" i="5"/>
  <c r="R12" i="6" l="1"/>
  <c r="H11" i="6"/>
  <c r="Q11" i="6" s="1"/>
  <c r="G9" i="6"/>
  <c r="G10" i="6"/>
  <c r="Q38" i="6"/>
  <c r="H37" i="6"/>
  <c r="H36" i="6" s="1"/>
  <c r="G70" i="6"/>
  <c r="Q70" i="6" s="1"/>
  <c r="Q71" i="6"/>
  <c r="Q78" i="6"/>
  <c r="G77" i="6"/>
  <c r="G76" i="6" s="1"/>
  <c r="G75" i="6" s="1"/>
  <c r="G74" i="6" s="1"/>
  <c r="R171" i="6"/>
  <c r="Q171" i="6"/>
  <c r="G170" i="6"/>
  <c r="M193" i="6"/>
  <c r="O62" i="6"/>
  <c r="N62" i="6"/>
  <c r="P107" i="6"/>
  <c r="P208" i="6"/>
  <c r="J207" i="6"/>
  <c r="J206" i="6" s="1"/>
  <c r="J205" i="6" s="1"/>
  <c r="O208" i="6"/>
  <c r="K263" i="6"/>
  <c r="L263" i="6"/>
  <c r="R285" i="6"/>
  <c r="H283" i="6"/>
  <c r="R291" i="6"/>
  <c r="H290" i="6"/>
  <c r="I295" i="6"/>
  <c r="M295" i="6" s="1"/>
  <c r="M296" i="6"/>
  <c r="N14" i="6"/>
  <c r="R18" i="6"/>
  <c r="Q26" i="6"/>
  <c r="M27" i="6"/>
  <c r="R39" i="6"/>
  <c r="I45" i="6"/>
  <c r="K45" i="6" s="1"/>
  <c r="P46" i="6"/>
  <c r="Q79" i="6"/>
  <c r="Q121" i="6"/>
  <c r="R172" i="6"/>
  <c r="N184" i="6"/>
  <c r="P184" i="6"/>
  <c r="J183" i="6"/>
  <c r="G232" i="6"/>
  <c r="Q232" i="6" s="1"/>
  <c r="N263" i="6"/>
  <c r="P268" i="6"/>
  <c r="J267" i="6"/>
  <c r="P267" i="6" s="1"/>
  <c r="N295" i="6"/>
  <c r="J30" i="6"/>
  <c r="R38" i="6"/>
  <c r="J49" i="6"/>
  <c r="Q72" i="6"/>
  <c r="P103" i="6"/>
  <c r="N103" i="6"/>
  <c r="J102" i="6"/>
  <c r="N102" i="6" s="1"/>
  <c r="G127" i="6"/>
  <c r="R127" i="6" s="1"/>
  <c r="G126" i="6"/>
  <c r="G125" i="6" s="1"/>
  <c r="P139" i="6"/>
  <c r="J138" i="6"/>
  <c r="M138" i="6" s="1"/>
  <c r="N139" i="6"/>
  <c r="N200" i="6"/>
  <c r="J199" i="6"/>
  <c r="M199" i="6" s="1"/>
  <c r="Q229" i="6"/>
  <c r="G228" i="6"/>
  <c r="M253" i="6"/>
  <c r="L253" i="6"/>
  <c r="N273" i="6"/>
  <c r="J272" i="6"/>
  <c r="P273" i="6"/>
  <c r="H284" i="6"/>
  <c r="M297" i="6"/>
  <c r="K297" i="6"/>
  <c r="R13" i="6"/>
  <c r="R17" i="6"/>
  <c r="N19" i="6"/>
  <c r="I26" i="6"/>
  <c r="N27" i="6"/>
  <c r="M31" i="6"/>
  <c r="M32" i="6"/>
  <c r="Q45" i="6"/>
  <c r="H87" i="6"/>
  <c r="R88" i="6"/>
  <c r="H86" i="6"/>
  <c r="H85" i="6" s="1"/>
  <c r="M102" i="6"/>
  <c r="H107" i="6"/>
  <c r="Q107" i="6" s="1"/>
  <c r="Q173" i="6"/>
  <c r="M183" i="6"/>
  <c r="N194" i="6"/>
  <c r="J193" i="6"/>
  <c r="L230" i="6"/>
  <c r="M230" i="6"/>
  <c r="K230" i="6"/>
  <c r="I229" i="6"/>
  <c r="O286" i="6"/>
  <c r="G285" i="6"/>
  <c r="Q285" i="6" s="1"/>
  <c r="Q291" i="6"/>
  <c r="R50" i="6"/>
  <c r="R52" i="6"/>
  <c r="Q52" i="6"/>
  <c r="R78" i="6"/>
  <c r="R79" i="6"/>
  <c r="M80" i="6"/>
  <c r="K103" i="6"/>
  <c r="Q115" i="6"/>
  <c r="Q116" i="6"/>
  <c r="M117" i="6"/>
  <c r="N117" i="6"/>
  <c r="R153" i="6"/>
  <c r="Q178" i="6"/>
  <c r="K184" i="6"/>
  <c r="G192" i="6"/>
  <c r="G191" i="6" s="1"/>
  <c r="G190" i="6" s="1"/>
  <c r="K194" i="6"/>
  <c r="H196" i="6"/>
  <c r="L200" i="6"/>
  <c r="Q202" i="6"/>
  <c r="Q203" i="6"/>
  <c r="H229" i="6"/>
  <c r="Q252" i="6"/>
  <c r="N253" i="6"/>
  <c r="Q277" i="6"/>
  <c r="N283" i="6"/>
  <c r="R286" i="6"/>
  <c r="Q286" i="6"/>
  <c r="N290" i="6"/>
  <c r="O295" i="6"/>
  <c r="Q295" i="6"/>
  <c r="P53" i="6"/>
  <c r="O64" i="6"/>
  <c r="K79" i="6"/>
  <c r="R102" i="6"/>
  <c r="N129" i="6"/>
  <c r="Q172" i="6"/>
  <c r="N221" i="6"/>
  <c r="Q230" i="6"/>
  <c r="J232" i="6"/>
  <c r="K233" i="6"/>
  <c r="J252" i="6"/>
  <c r="O252" i="6" s="1"/>
  <c r="M267" i="6"/>
  <c r="N285" i="6"/>
  <c r="O288" i="6"/>
  <c r="O289" i="6"/>
  <c r="O290" i="6"/>
  <c r="R295" i="6"/>
  <c r="O296" i="6"/>
  <c r="O50" i="6"/>
  <c r="O52" i="6"/>
  <c r="M62" i="6"/>
  <c r="L79" i="6"/>
  <c r="K80" i="6"/>
  <c r="R89" i="6"/>
  <c r="M103" i="6"/>
  <c r="G99" i="6"/>
  <c r="H114" i="6"/>
  <c r="H113" i="6" s="1"/>
  <c r="Q113" i="6" s="1"/>
  <c r="K117" i="6"/>
  <c r="L122" i="6"/>
  <c r="Q129" i="6"/>
  <c r="M139" i="6"/>
  <c r="J162" i="6"/>
  <c r="P163" i="6"/>
  <c r="K183" i="6"/>
  <c r="M184" i="6"/>
  <c r="M194" i="6"/>
  <c r="M200" i="6"/>
  <c r="P238" i="6"/>
  <c r="R252" i="6"/>
  <c r="P253" i="6"/>
  <c r="M268" i="6"/>
  <c r="M273" i="6"/>
  <c r="H276" i="6"/>
  <c r="Q278" i="6"/>
  <c r="O291" i="6"/>
  <c r="K292" i="6"/>
  <c r="Q296" i="6"/>
  <c r="O297" i="6"/>
  <c r="M26" i="6"/>
  <c r="G30" i="6"/>
  <c r="O30" i="6" s="1"/>
  <c r="O31" i="6"/>
  <c r="Q12" i="6"/>
  <c r="I13" i="6"/>
  <c r="Q13" i="6"/>
  <c r="K14" i="6"/>
  <c r="O14" i="6"/>
  <c r="Q17" i="6"/>
  <c r="I18" i="6"/>
  <c r="Q18" i="6"/>
  <c r="K19" i="6"/>
  <c r="O19" i="6"/>
  <c r="I25" i="6"/>
  <c r="R26" i="6"/>
  <c r="I30" i="6"/>
  <c r="N30" i="6" s="1"/>
  <c r="G37" i="6"/>
  <c r="R37" i="6" s="1"/>
  <c r="M39" i="6"/>
  <c r="I38" i="6"/>
  <c r="Q39" i="6"/>
  <c r="G44" i="6"/>
  <c r="R44" i="6" s="1"/>
  <c r="R45" i="6"/>
  <c r="Q62" i="6"/>
  <c r="P62" i="6"/>
  <c r="K62" i="6"/>
  <c r="P121" i="6"/>
  <c r="N121" i="6"/>
  <c r="J120" i="6"/>
  <c r="H125" i="6"/>
  <c r="Q126" i="6"/>
  <c r="O135" i="6"/>
  <c r="N135" i="6"/>
  <c r="J134" i="6"/>
  <c r="R32" i="6"/>
  <c r="K50" i="6"/>
  <c r="M50" i="6"/>
  <c r="L50" i="6"/>
  <c r="J13" i="6"/>
  <c r="L14" i="6"/>
  <c r="P14" i="6"/>
  <c r="J18" i="6"/>
  <c r="L19" i="6"/>
  <c r="P19" i="6"/>
  <c r="P27" i="6"/>
  <c r="J26" i="6"/>
  <c r="O27" i="6"/>
  <c r="H31" i="6"/>
  <c r="L31" i="6" s="1"/>
  <c r="O32" i="6"/>
  <c r="P32" i="6"/>
  <c r="H35" i="6"/>
  <c r="O38" i="6"/>
  <c r="J37" i="6"/>
  <c r="N50" i="6"/>
  <c r="P70" i="6"/>
  <c r="Q96" i="6"/>
  <c r="P97" i="6"/>
  <c r="N97" i="6"/>
  <c r="J96" i="6"/>
  <c r="M97" i="6"/>
  <c r="R126" i="6"/>
  <c r="O145" i="6"/>
  <c r="N145" i="6"/>
  <c r="M145" i="6"/>
  <c r="J144" i="6"/>
  <c r="P145" i="6"/>
  <c r="L178" i="6"/>
  <c r="K178" i="6"/>
  <c r="M178" i="6"/>
  <c r="I177" i="6"/>
  <c r="R25" i="6"/>
  <c r="H24" i="6"/>
  <c r="G25" i="6"/>
  <c r="G24" i="6" s="1"/>
  <c r="G23" i="6" s="1"/>
  <c r="G22" i="6" s="1"/>
  <c r="Q25" i="6"/>
  <c r="K32" i="6"/>
  <c r="Q32" i="6"/>
  <c r="O90" i="6"/>
  <c r="N90" i="6"/>
  <c r="M90" i="6"/>
  <c r="J89" i="6"/>
  <c r="P90" i="6"/>
  <c r="K101" i="6"/>
  <c r="L101" i="6"/>
  <c r="I100" i="6"/>
  <c r="G151" i="6"/>
  <c r="R152" i="6"/>
  <c r="L154" i="6"/>
  <c r="K154" i="6"/>
  <c r="M154" i="6"/>
  <c r="R77" i="6"/>
  <c r="H76" i="6"/>
  <c r="K78" i="6"/>
  <c r="L78" i="6"/>
  <c r="I77" i="6"/>
  <c r="G94" i="6"/>
  <c r="G93" i="6" s="1"/>
  <c r="G83" i="6" s="1"/>
  <c r="Q95" i="6"/>
  <c r="P116" i="6"/>
  <c r="N116" i="6"/>
  <c r="G138" i="6"/>
  <c r="G133" i="6" s="1"/>
  <c r="G132" i="6" s="1"/>
  <c r="G131" i="6" s="1"/>
  <c r="Q139" i="6"/>
  <c r="L153" i="6"/>
  <c r="M153" i="6"/>
  <c r="K153" i="6"/>
  <c r="I152" i="6"/>
  <c r="J45" i="6"/>
  <c r="L46" i="6"/>
  <c r="H49" i="6"/>
  <c r="P49" i="6" s="1"/>
  <c r="P50" i="6"/>
  <c r="M52" i="6"/>
  <c r="G49" i="6"/>
  <c r="R64" i="6"/>
  <c r="M65" i="6"/>
  <c r="L72" i="6"/>
  <c r="P80" i="6"/>
  <c r="J79" i="6"/>
  <c r="M79" i="6" s="1"/>
  <c r="O80" i="6"/>
  <c r="R101" i="6"/>
  <c r="Q101" i="6"/>
  <c r="M108" i="6"/>
  <c r="H112" i="6"/>
  <c r="Q114" i="6"/>
  <c r="Q136" i="6"/>
  <c r="H135" i="6"/>
  <c r="P135" i="6" s="1"/>
  <c r="P153" i="6"/>
  <c r="J152" i="6"/>
  <c r="N154" i="6"/>
  <c r="K163" i="6"/>
  <c r="I162" i="6"/>
  <c r="M163" i="6"/>
  <c r="L163" i="6"/>
  <c r="P173" i="6"/>
  <c r="O173" i="6"/>
  <c r="P178" i="6"/>
  <c r="O178" i="6"/>
  <c r="N178" i="6"/>
  <c r="J177" i="6"/>
  <c r="N46" i="6"/>
  <c r="Q50" i="6"/>
  <c r="K52" i="6"/>
  <c r="N52" i="6"/>
  <c r="M53" i="6"/>
  <c r="N53" i="6"/>
  <c r="Q64" i="6"/>
  <c r="K65" i="6"/>
  <c r="I64" i="6"/>
  <c r="N64" i="6" s="1"/>
  <c r="N65" i="6"/>
  <c r="Q86" i="6"/>
  <c r="R86" i="6"/>
  <c r="G87" i="6"/>
  <c r="R87" i="6" s="1"/>
  <c r="H100" i="6"/>
  <c r="Q102" i="6"/>
  <c r="Q128" i="6"/>
  <c r="K129" i="6"/>
  <c r="M129" i="6"/>
  <c r="L129" i="6"/>
  <c r="I128" i="6"/>
  <c r="K136" i="6"/>
  <c r="L136" i="6"/>
  <c r="I135" i="6"/>
  <c r="R136" i="6"/>
  <c r="H141" i="6"/>
  <c r="N153" i="6"/>
  <c r="Q162" i="6"/>
  <c r="R162" i="6"/>
  <c r="H161" i="6"/>
  <c r="P174" i="6"/>
  <c r="O174" i="6"/>
  <c r="N174" i="6"/>
  <c r="O49" i="6"/>
  <c r="P52" i="6"/>
  <c r="P65" i="6"/>
  <c r="K72" i="6"/>
  <c r="I71" i="6"/>
  <c r="N71" i="6" s="1"/>
  <c r="K108" i="6"/>
  <c r="I107" i="6"/>
  <c r="L108" i="6"/>
  <c r="K121" i="6"/>
  <c r="I120" i="6"/>
  <c r="M121" i="6"/>
  <c r="L121" i="6"/>
  <c r="R128" i="6"/>
  <c r="O129" i="6"/>
  <c r="J128" i="6"/>
  <c r="Q142" i="6"/>
  <c r="I181" i="6"/>
  <c r="R206" i="6"/>
  <c r="Q206" i="6"/>
  <c r="O206" i="6"/>
  <c r="G205" i="6"/>
  <c r="N72" i="6"/>
  <c r="Q88" i="6"/>
  <c r="K102" i="6"/>
  <c r="P108" i="6"/>
  <c r="K115" i="6"/>
  <c r="I114" i="6"/>
  <c r="M116" i="6"/>
  <c r="P117" i="6"/>
  <c r="N122" i="6"/>
  <c r="P136" i="6"/>
  <c r="K138" i="6"/>
  <c r="N138" i="6"/>
  <c r="Q143" i="6"/>
  <c r="Q153" i="6"/>
  <c r="L175" i="6"/>
  <c r="K175" i="6"/>
  <c r="P194" i="6"/>
  <c r="H193" i="6"/>
  <c r="P193" i="6" s="1"/>
  <c r="L194" i="6"/>
  <c r="Q89" i="6"/>
  <c r="K90" i="6"/>
  <c r="I89" i="6"/>
  <c r="K97" i="6"/>
  <c r="I96" i="6"/>
  <c r="P102" i="6"/>
  <c r="J115" i="6"/>
  <c r="Q144" i="6"/>
  <c r="K145" i="6"/>
  <c r="I144" i="6"/>
  <c r="I174" i="6"/>
  <c r="P175" i="6"/>
  <c r="O175" i="6"/>
  <c r="N175" i="6"/>
  <c r="Q194" i="6"/>
  <c r="Q196" i="6"/>
  <c r="P196" i="6"/>
  <c r="L197" i="6"/>
  <c r="K197" i="6"/>
  <c r="N197" i="6"/>
  <c r="I196" i="6"/>
  <c r="L208" i="6"/>
  <c r="M208" i="6"/>
  <c r="K208" i="6"/>
  <c r="I207" i="6"/>
  <c r="H182" i="6"/>
  <c r="L182" i="6" s="1"/>
  <c r="Q183" i="6"/>
  <c r="L183" i="6"/>
  <c r="R207" i="6"/>
  <c r="Q207" i="6"/>
  <c r="R246" i="6"/>
  <c r="Q246" i="6"/>
  <c r="L246" i="6"/>
  <c r="H245" i="6"/>
  <c r="P162" i="6"/>
  <c r="H199" i="6"/>
  <c r="L199" i="6" s="1"/>
  <c r="Q200" i="6"/>
  <c r="K200" i="6"/>
  <c r="P200" i="6"/>
  <c r="M202" i="6"/>
  <c r="L202" i="6"/>
  <c r="K202" i="6"/>
  <c r="L203" i="6"/>
  <c r="M203" i="6"/>
  <c r="K203" i="6"/>
  <c r="N163" i="6"/>
  <c r="N193" i="6"/>
  <c r="N196" i="6"/>
  <c r="P197" i="6"/>
  <c r="N199" i="6"/>
  <c r="N202" i="6"/>
  <c r="P203" i="6"/>
  <c r="N208" i="6"/>
  <c r="Q220" i="6"/>
  <c r="K221" i="6"/>
  <c r="O229" i="6"/>
  <c r="O230" i="6"/>
  <c r="I232" i="6"/>
  <c r="Q238" i="6"/>
  <c r="H237" i="6"/>
  <c r="P237" i="6" s="1"/>
  <c r="L238" i="6"/>
  <c r="I220" i="6"/>
  <c r="M221" i="6"/>
  <c r="N229" i="6"/>
  <c r="N230" i="6"/>
  <c r="O233" i="6"/>
  <c r="I235" i="6"/>
  <c r="P252" i="6"/>
  <c r="Q268" i="6"/>
  <c r="G267" i="6"/>
  <c r="R267" i="6" s="1"/>
  <c r="O268" i="6"/>
  <c r="N220" i="6"/>
  <c r="L233" i="6"/>
  <c r="M233" i="6"/>
  <c r="J236" i="6"/>
  <c r="M237" i="6"/>
  <c r="K272" i="6"/>
  <c r="I271" i="6"/>
  <c r="L272" i="6"/>
  <c r="P205" i="6"/>
  <c r="J218" i="6"/>
  <c r="H219" i="6"/>
  <c r="R229" i="6"/>
  <c r="R230" i="6"/>
  <c r="L237" i="6"/>
  <c r="M240" i="6"/>
  <c r="N240" i="6"/>
  <c r="P247" i="6"/>
  <c r="J246" i="6"/>
  <c r="M246" i="6" s="1"/>
  <c r="O247" i="6"/>
  <c r="R268" i="6"/>
  <c r="Q273" i="6"/>
  <c r="K278" i="6"/>
  <c r="I277" i="6"/>
  <c r="L278" i="6"/>
  <c r="I282" i="6"/>
  <c r="I284" i="6"/>
  <c r="N284" i="6" s="1"/>
  <c r="K286" i="6"/>
  <c r="L286" i="6"/>
  <c r="I289" i="6"/>
  <c r="K291" i="6"/>
  <c r="L291" i="6"/>
  <c r="K296" i="6"/>
  <c r="L296" i="6"/>
  <c r="R262" i="6"/>
  <c r="Q262" i="6"/>
  <c r="P263" i="6"/>
  <c r="J262" i="6"/>
  <c r="O263" i="6"/>
  <c r="N278" i="6"/>
  <c r="N282" i="6"/>
  <c r="N286" i="6"/>
  <c r="N289" i="6"/>
  <c r="N291" i="6"/>
  <c r="N296" i="6"/>
  <c r="R233" i="6"/>
  <c r="K238" i="6"/>
  <c r="Q271" i="6"/>
  <c r="Q272" i="6"/>
  <c r="K283" i="6"/>
  <c r="L283" i="6"/>
  <c r="K285" i="6"/>
  <c r="L285" i="6"/>
  <c r="L290" i="6"/>
  <c r="K295" i="6"/>
  <c r="L295" i="6"/>
  <c r="N233" i="6"/>
  <c r="M238" i="6"/>
  <c r="K246" i="6"/>
  <c r="M247" i="6"/>
  <c r="I252" i="6"/>
  <c r="K253" i="6"/>
  <c r="O253" i="6"/>
  <c r="M263" i="6"/>
  <c r="N267" i="6"/>
  <c r="N268" i="6"/>
  <c r="J277" i="6"/>
  <c r="P284" i="6"/>
  <c r="P285" i="6"/>
  <c r="P286" i="6"/>
  <c r="P291" i="6"/>
  <c r="N292" i="6"/>
  <c r="P295" i="6"/>
  <c r="P296" i="6"/>
  <c r="N297" i="6"/>
  <c r="I262" i="6"/>
  <c r="L267" i="6"/>
  <c r="L268" i="6"/>
  <c r="L273" i="6"/>
  <c r="L292" i="6"/>
  <c r="L297" i="6"/>
  <c r="DO42" i="5"/>
  <c r="DH64" i="5"/>
  <c r="DK39" i="5"/>
  <c r="EH31" i="5"/>
  <c r="EG31" i="5"/>
  <c r="R42" i="5"/>
  <c r="DZ42" i="5"/>
  <c r="DD42" i="5"/>
  <c r="CZ42" i="5"/>
  <c r="CZ52" i="5" s="1"/>
  <c r="CR42" i="5"/>
  <c r="CR52" i="5" s="1"/>
  <c r="CN42" i="5"/>
  <c r="CS63" i="5" s="1"/>
  <c r="CJ42" i="5"/>
  <c r="CJ52" i="5" s="1"/>
  <c r="CB42" i="5"/>
  <c r="CB52" i="5" s="1"/>
  <c r="BX42" i="5"/>
  <c r="BX52" i="5" s="1"/>
  <c r="BT42" i="5"/>
  <c r="BT52" i="5" s="1"/>
  <c r="BO42" i="5"/>
  <c r="BO52" i="5" s="1"/>
  <c r="BH42" i="5"/>
  <c r="BK41" i="5" s="1"/>
  <c r="BK40" i="5" s="1"/>
  <c r="AI26" i="5"/>
  <c r="AG26" i="5"/>
  <c r="AH26" i="5"/>
  <c r="AH23" i="5" s="1"/>
  <c r="AJ26" i="5"/>
  <c r="AJ23" i="5" s="1"/>
  <c r="BD26" i="5"/>
  <c r="BD23" i="5"/>
  <c r="AO23" i="5"/>
  <c r="AU23" i="5"/>
  <c r="AV23" i="5"/>
  <c r="AG22" i="5"/>
  <c r="AH22" i="5"/>
  <c r="AI22" i="5"/>
  <c r="AJ22" i="5"/>
  <c r="AI21" i="5"/>
  <c r="AG21" i="5"/>
  <c r="AH21" i="5"/>
  <c r="AJ21" i="5"/>
  <c r="BD21" i="5"/>
  <c r="U14" i="5"/>
  <c r="AB16" i="5"/>
  <c r="AB14" i="5" s="1"/>
  <c r="EL12" i="5"/>
  <c r="AK6" i="5"/>
  <c r="L6" i="5"/>
  <c r="D6" i="5"/>
  <c r="P7" i="5"/>
  <c r="AV6" i="5"/>
  <c r="AU6" i="5"/>
  <c r="EI31" i="5"/>
  <c r="EJ31" i="5"/>
  <c r="AK17" i="5"/>
  <c r="BA17" i="5"/>
  <c r="EF14" i="5"/>
  <c r="EE14" i="5"/>
  <c r="EH35" i="5"/>
  <c r="EG35" i="5"/>
  <c r="J35" i="5"/>
  <c r="G35" i="5"/>
  <c r="DO31" i="5"/>
  <c r="BB31" i="5"/>
  <c r="AM31" i="5"/>
  <c r="G29" i="5"/>
  <c r="J29" i="5"/>
  <c r="F42" i="5"/>
  <c r="J42" i="5" s="1"/>
  <c r="L26" i="5"/>
  <c r="M26" i="5"/>
  <c r="O26" i="5"/>
  <c r="AG24" i="5"/>
  <c r="AG23" i="5" s="1"/>
  <c r="AH24" i="5"/>
  <c r="AI24" i="5"/>
  <c r="L21" i="5"/>
  <c r="M21" i="5"/>
  <c r="O21" i="5"/>
  <c r="EM17" i="5"/>
  <c r="EL17" i="5"/>
  <c r="DX42" i="5"/>
  <c r="DX70" i="5" s="1"/>
  <c r="DT42" i="5"/>
  <c r="DT70" i="5" s="1"/>
  <c r="DN39" i="5"/>
  <c r="DN38" i="5"/>
  <c r="DN41" i="5"/>
  <c r="BF6" i="5"/>
  <c r="S6" i="5"/>
  <c r="EL6" i="5"/>
  <c r="EM6" i="5"/>
  <c r="AI32" i="5"/>
  <c r="AI31" i="5" s="1"/>
  <c r="AH32" i="5"/>
  <c r="AH31" i="5" s="1"/>
  <c r="AJ32" i="5"/>
  <c r="AJ31" i="5" s="1"/>
  <c r="DG64" i="5"/>
  <c r="CS62" i="5"/>
  <c r="CY57" i="5"/>
  <c r="O31" i="5"/>
  <c r="G31" i="5"/>
  <c r="EK31" i="5"/>
  <c r="AC42" i="5"/>
  <c r="Q42" i="5"/>
  <c r="H23" i="5"/>
  <c r="U12" i="5"/>
  <c r="AB13" i="5"/>
  <c r="AB12" i="5" s="1"/>
  <c r="EE12" i="5"/>
  <c r="BD37" i="5"/>
  <c r="AZ37" i="5"/>
  <c r="DY42" i="5"/>
  <c r="DY70" i="5" s="1"/>
  <c r="DU42" i="5"/>
  <c r="DU70" i="5" s="1"/>
  <c r="DQ42" i="5"/>
  <c r="DQ68" i="5" s="1"/>
  <c r="BE42" i="5"/>
  <c r="AV35" i="5"/>
  <c r="BG31" i="5"/>
  <c r="BA31" i="5"/>
  <c r="V31" i="5"/>
  <c r="L31" i="5"/>
  <c r="EG27" i="5"/>
  <c r="DP23" i="5"/>
  <c r="AZ23" i="5"/>
  <c r="DO23" i="5"/>
  <c r="EH23" i="5"/>
  <c r="AX23" i="5"/>
  <c r="AO17" i="5"/>
  <c r="BC17" i="5"/>
  <c r="AN17" i="5"/>
  <c r="M18" i="5"/>
  <c r="BF14" i="5"/>
  <c r="S14" i="5"/>
  <c r="L13" i="5"/>
  <c r="L12" i="5" s="1"/>
  <c r="AJ11" i="5"/>
  <c r="AJ6" i="5" s="1"/>
  <c r="AO6" i="5"/>
  <c r="O8" i="5"/>
  <c r="DP6" i="5"/>
  <c r="BC6" i="5"/>
  <c r="AN6" i="5"/>
  <c r="AF6" i="5"/>
  <c r="K6" i="5"/>
  <c r="BN42" i="5"/>
  <c r="BN52" i="5" s="1"/>
  <c r="AP42" i="5"/>
  <c r="BC37" i="5"/>
  <c r="O38" i="5"/>
  <c r="O37" i="5" s="1"/>
  <c r="EH37" i="5"/>
  <c r="EI37" i="5"/>
  <c r="BM42" i="5"/>
  <c r="BM52" i="5" s="1"/>
  <c r="BF35" i="5"/>
  <c r="AZ35" i="5"/>
  <c r="AZ31" i="5"/>
  <c r="AO31" i="5"/>
  <c r="U32" i="5"/>
  <c r="AB32" i="5" s="1"/>
  <c r="AB31" i="5" s="1"/>
  <c r="D23" i="5"/>
  <c r="D42" i="5" s="1"/>
  <c r="BG23" i="5"/>
  <c r="BB23" i="5"/>
  <c r="AM23" i="5"/>
  <c r="EI23" i="5"/>
  <c r="EI17" i="5"/>
  <c r="AZ14" i="5"/>
  <c r="AO14" i="5"/>
  <c r="AJ16" i="5"/>
  <c r="M8" i="5"/>
  <c r="DO6" i="5"/>
  <c r="BB6" i="5"/>
  <c r="AM6" i="5"/>
  <c r="V6" i="5"/>
  <c r="EJ6" i="5"/>
  <c r="AX6" i="5"/>
  <c r="H6" i="5"/>
  <c r="V37" i="5"/>
  <c r="DI42" i="5"/>
  <c r="DM11" i="5" s="1"/>
  <c r="DE42" i="5"/>
  <c r="DE64" i="5" s="1"/>
  <c r="BI42" i="5"/>
  <c r="AX35" i="5"/>
  <c r="DP31" i="5"/>
  <c r="BC31" i="5"/>
  <c r="AN31" i="5"/>
  <c r="AN42" i="5" s="1"/>
  <c r="EK29" i="5"/>
  <c r="AK23" i="5"/>
  <c r="AK42" i="5" s="1"/>
  <c r="EG23" i="5"/>
  <c r="D17" i="5"/>
  <c r="BF17" i="5"/>
  <c r="EH17" i="5"/>
  <c r="AX17" i="5"/>
  <c r="G17" i="5"/>
  <c r="EF12" i="5"/>
  <c r="G12" i="5"/>
  <c r="U6" i="5"/>
  <c r="BG6" i="5"/>
  <c r="EF6" i="5"/>
  <c r="O6" i="5"/>
  <c r="M6" i="5"/>
  <c r="DN37" i="5"/>
  <c r="DY72" i="5"/>
  <c r="BJ8" i="5"/>
  <c r="BJ7" i="5"/>
  <c r="BJ6" i="5" s="1"/>
  <c r="BJ11" i="5"/>
  <c r="BJ9" i="5"/>
  <c r="BJ10" i="5"/>
  <c r="BJ16" i="5"/>
  <c r="BJ14" i="5" s="1"/>
  <c r="BJ22" i="5"/>
  <c r="BJ13" i="5"/>
  <c r="BJ12" i="5" s="1"/>
  <c r="BJ24" i="5"/>
  <c r="BJ25" i="5"/>
  <c r="BJ18" i="5"/>
  <c r="BJ21" i="5"/>
  <c r="BJ15" i="5"/>
  <c r="BJ20" i="5"/>
  <c r="BJ26" i="5"/>
  <c r="BJ32" i="5"/>
  <c r="BJ33" i="5"/>
  <c r="BJ34" i="5"/>
  <c r="BJ36" i="5"/>
  <c r="BJ19" i="5"/>
  <c r="BJ30" i="5"/>
  <c r="BJ29" i="5" s="1"/>
  <c r="BJ38" i="5"/>
  <c r="BJ37" i="5" s="1"/>
  <c r="BJ39" i="5"/>
  <c r="BJ41" i="5"/>
  <c r="BJ40" i="5" s="1"/>
  <c r="DM8" i="5"/>
  <c r="DM7" i="5"/>
  <c r="DM13" i="5"/>
  <c r="DM12" i="5" s="1"/>
  <c r="DM9" i="5"/>
  <c r="DM10" i="5"/>
  <c r="DM19" i="5"/>
  <c r="DM20" i="5"/>
  <c r="DM16" i="5"/>
  <c r="DM22" i="5"/>
  <c r="DM24" i="5"/>
  <c r="DM25" i="5"/>
  <c r="DM26" i="5"/>
  <c r="DM30" i="5"/>
  <c r="DM29" i="5" s="1"/>
  <c r="DM21" i="5"/>
  <c r="DM18" i="5"/>
  <c r="DM32" i="5"/>
  <c r="DM33" i="5"/>
  <c r="DM34" i="5"/>
  <c r="DM35" i="5"/>
  <c r="DM36" i="5"/>
  <c r="DM40" i="5"/>
  <c r="DM42" i="5"/>
  <c r="DI64" i="5"/>
  <c r="DI66" i="5"/>
  <c r="DM39" i="5"/>
  <c r="DM38" i="5"/>
  <c r="DM41" i="5"/>
  <c r="CS55" i="5"/>
  <c r="CS58" i="5"/>
  <c r="CS52" i="5"/>
  <c r="BL9" i="5"/>
  <c r="BL10" i="5"/>
  <c r="BL8" i="5"/>
  <c r="BL7" i="5"/>
  <c r="BL11" i="5"/>
  <c r="BL13" i="5"/>
  <c r="BL12" i="5" s="1"/>
  <c r="BL15" i="5"/>
  <c r="BL18" i="5"/>
  <c r="BL21" i="5"/>
  <c r="BL19" i="5"/>
  <c r="BL20" i="5"/>
  <c r="BL16" i="5"/>
  <c r="BL22" i="5"/>
  <c r="BL34" i="5"/>
  <c r="BL36" i="5"/>
  <c r="BL30" i="5"/>
  <c r="BL29" i="5" s="1"/>
  <c r="BL24" i="5"/>
  <c r="BL25" i="5"/>
  <c r="BL26" i="5"/>
  <c r="BL32" i="5"/>
  <c r="BL33" i="5"/>
  <c r="BL38" i="5"/>
  <c r="BL39" i="5"/>
  <c r="BL41" i="5"/>
  <c r="BL40" i="5" s="1"/>
  <c r="DP42" i="5"/>
  <c r="DL42" i="5"/>
  <c r="Y8" i="5"/>
  <c r="Y10" i="5"/>
  <c r="Y7" i="5"/>
  <c r="Y6" i="5" s="1"/>
  <c r="Y9" i="5"/>
  <c r="Y11" i="5"/>
  <c r="Y13" i="5"/>
  <c r="Y12" i="5" s="1"/>
  <c r="Y19" i="5"/>
  <c r="Y22" i="5"/>
  <c r="Y25" i="5"/>
  <c r="Y15" i="5"/>
  <c r="Y24" i="5"/>
  <c r="Y23" i="5" s="1"/>
  <c r="Y21" i="5"/>
  <c r="Y16" i="5"/>
  <c r="Y18" i="5"/>
  <c r="Y34" i="5"/>
  <c r="Y30" i="5"/>
  <c r="Y29" i="5" s="1"/>
  <c r="Y32" i="5"/>
  <c r="Y26" i="5"/>
  <c r="Y20" i="5"/>
  <c r="Y33" i="5"/>
  <c r="Y36" i="5"/>
  <c r="Y35" i="5" s="1"/>
  <c r="AX40" i="5"/>
  <c r="X48" i="5"/>
  <c r="T46" i="5"/>
  <c r="EI42" i="5"/>
  <c r="DK7" i="5"/>
  <c r="DK11" i="5"/>
  <c r="DK13" i="5"/>
  <c r="DK12" i="5" s="1"/>
  <c r="DK9" i="5"/>
  <c r="DK10" i="5"/>
  <c r="DK8" i="5"/>
  <c r="DK24" i="5"/>
  <c r="DK25" i="5"/>
  <c r="DK15" i="5"/>
  <c r="DK18" i="5"/>
  <c r="DK21" i="5"/>
  <c r="DK26" i="5"/>
  <c r="DK19" i="5"/>
  <c r="DK20" i="5"/>
  <c r="DK16" i="5"/>
  <c r="DK32" i="5"/>
  <c r="DK33" i="5"/>
  <c r="DK34" i="5"/>
  <c r="DK35" i="5"/>
  <c r="DK36" i="5"/>
  <c r="DK22" i="5"/>
  <c r="DK30" i="5"/>
  <c r="DK29" i="5" s="1"/>
  <c r="Z8" i="5"/>
  <c r="Z10" i="5"/>
  <c r="Z7" i="5"/>
  <c r="Z9" i="5"/>
  <c r="Z11" i="5"/>
  <c r="Z13" i="5"/>
  <c r="Z12" i="5" s="1"/>
  <c r="Z15" i="5"/>
  <c r="Z16" i="5"/>
  <c r="Z14" i="5" s="1"/>
  <c r="Z18" i="5"/>
  <c r="Z20" i="5"/>
  <c r="Z19" i="5"/>
  <c r="Z22" i="5"/>
  <c r="Z25" i="5"/>
  <c r="Z24" i="5"/>
  <c r="Z33" i="5"/>
  <c r="Z36" i="5"/>
  <c r="Z35" i="5" s="1"/>
  <c r="Z21" i="5"/>
  <c r="Z34" i="5"/>
  <c r="Z30" i="5"/>
  <c r="Z29" i="5" s="1"/>
  <c r="Z32" i="5"/>
  <c r="Z31" i="5" s="1"/>
  <c r="Z26" i="5"/>
  <c r="Y41" i="5"/>
  <c r="Y40" i="5" s="1"/>
  <c r="DK40" i="5"/>
  <c r="Z39" i="5"/>
  <c r="AA38" i="5"/>
  <c r="U37" i="5"/>
  <c r="EB37" i="5"/>
  <c r="DL8" i="5"/>
  <c r="DL7" i="5"/>
  <c r="DL11" i="5"/>
  <c r="DL9" i="5"/>
  <c r="DL10" i="5"/>
  <c r="DL16" i="5"/>
  <c r="DL22" i="5"/>
  <c r="DL24" i="5"/>
  <c r="DL25" i="5"/>
  <c r="DL13" i="5"/>
  <c r="DL12" i="5" s="1"/>
  <c r="DL15" i="5"/>
  <c r="DL18" i="5"/>
  <c r="DL21" i="5"/>
  <c r="DL19" i="5"/>
  <c r="DL20" i="5"/>
  <c r="DL32" i="5"/>
  <c r="DL33" i="5"/>
  <c r="DL34" i="5"/>
  <c r="DL35" i="5"/>
  <c r="DL36" i="5"/>
  <c r="DL26" i="5"/>
  <c r="DL30" i="5"/>
  <c r="DL29" i="5" s="1"/>
  <c r="BK8" i="5"/>
  <c r="BK7" i="5"/>
  <c r="BK11" i="5"/>
  <c r="BK13" i="5"/>
  <c r="BK12" i="5" s="1"/>
  <c r="BK9" i="5"/>
  <c r="BK10" i="5"/>
  <c r="BK15" i="5"/>
  <c r="BK19" i="5"/>
  <c r="BK20" i="5"/>
  <c r="BK16" i="5"/>
  <c r="BK22" i="5"/>
  <c r="BK24" i="5"/>
  <c r="BK25" i="5"/>
  <c r="BK21" i="5"/>
  <c r="BK30" i="5"/>
  <c r="BK29" i="5" s="1"/>
  <c r="BK18" i="5"/>
  <c r="BK26" i="5"/>
  <c r="BK32" i="5"/>
  <c r="BK33" i="5"/>
  <c r="BK34" i="5"/>
  <c r="BK35" i="5"/>
  <c r="BK36" i="5"/>
  <c r="DL40" i="5"/>
  <c r="AA39" i="5"/>
  <c r="AB37" i="5"/>
  <c r="EG37" i="5"/>
  <c r="CN52" i="5"/>
  <c r="DN9" i="5"/>
  <c r="DN10" i="5"/>
  <c r="DN8" i="5"/>
  <c r="DN7" i="5"/>
  <c r="DN11" i="5"/>
  <c r="DN13" i="5"/>
  <c r="DN12" i="5" s="1"/>
  <c r="DN18" i="5"/>
  <c r="DN21" i="5"/>
  <c r="DN19" i="5"/>
  <c r="DN17" i="5" s="1"/>
  <c r="DN20" i="5"/>
  <c r="DN16" i="5"/>
  <c r="DN22" i="5"/>
  <c r="DN15" i="5"/>
  <c r="DN34" i="5"/>
  <c r="DN35" i="5"/>
  <c r="DN36" i="5"/>
  <c r="DN26" i="5"/>
  <c r="DN30" i="5"/>
  <c r="DN29" i="5" s="1"/>
  <c r="DN24" i="5"/>
  <c r="DN25" i="5"/>
  <c r="DN32" i="5"/>
  <c r="DN31" i="5" s="1"/>
  <c r="DN33" i="5"/>
  <c r="AT42" i="5"/>
  <c r="DL41" i="5"/>
  <c r="DN40" i="5"/>
  <c r="AV40" i="5"/>
  <c r="G40" i="5"/>
  <c r="BK39" i="5"/>
  <c r="Y39" i="5"/>
  <c r="DL38" i="5"/>
  <c r="BK38" i="5"/>
  <c r="AH37" i="5"/>
  <c r="Z38" i="5"/>
  <c r="Z37" i="5" s="1"/>
  <c r="S37" i="5"/>
  <c r="M38" i="5"/>
  <c r="M37" i="5" s="1"/>
  <c r="EE37" i="5"/>
  <c r="AA15" i="5"/>
  <c r="AA8" i="5"/>
  <c r="AA10" i="5"/>
  <c r="AA7" i="5"/>
  <c r="AA6" i="5" s="1"/>
  <c r="AA9" i="5"/>
  <c r="AA11" i="5"/>
  <c r="AA13" i="5"/>
  <c r="AA12" i="5" s="1"/>
  <c r="AA16" i="5"/>
  <c r="AA21" i="5"/>
  <c r="AA18" i="5"/>
  <c r="AA20" i="5"/>
  <c r="AA19" i="5"/>
  <c r="AA22" i="5"/>
  <c r="AA25" i="5"/>
  <c r="AA26" i="5"/>
  <c r="AA24" i="5"/>
  <c r="AA23" i="5" s="1"/>
  <c r="AA33" i="5"/>
  <c r="AA36" i="5"/>
  <c r="AA35" i="5" s="1"/>
  <c r="AA34" i="5"/>
  <c r="AA30" i="5"/>
  <c r="AA29" i="5" s="1"/>
  <c r="AA32" i="5"/>
  <c r="AJ37" i="5"/>
  <c r="X46" i="5"/>
  <c r="EK42" i="5"/>
  <c r="EC42" i="5"/>
  <c r="EC70" i="5" s="1"/>
  <c r="AW42" i="5"/>
  <c r="DK41" i="5"/>
  <c r="AA41" i="5"/>
  <c r="AA40" i="5" s="1"/>
  <c r="DL39" i="5"/>
  <c r="EJ38" i="5"/>
  <c r="DK38" i="5"/>
  <c r="DK37" i="5" s="1"/>
  <c r="AO37" i="5"/>
  <c r="AG37" i="5"/>
  <c r="Y38" i="5"/>
  <c r="P38" i="5"/>
  <c r="P37" i="5" s="1"/>
  <c r="L38" i="5"/>
  <c r="L37" i="5" s="1"/>
  <c r="BL35" i="5"/>
  <c r="U31" i="5"/>
  <c r="L25" i="5"/>
  <c r="L23" i="5" s="1"/>
  <c r="P25" i="5"/>
  <c r="M25" i="5"/>
  <c r="U23" i="5"/>
  <c r="AB24" i="5"/>
  <c r="AB23" i="5" s="1"/>
  <c r="EL23" i="5"/>
  <c r="EM23" i="5"/>
  <c r="V17" i="5"/>
  <c r="EF35" i="5"/>
  <c r="BJ35" i="5"/>
  <c r="BD32" i="5"/>
  <c r="BD31" i="5" s="1"/>
  <c r="AG32" i="5"/>
  <c r="AG31" i="5" s="1"/>
  <c r="S32" i="5"/>
  <c r="S31" i="5" s="1"/>
  <c r="EF31" i="5"/>
  <c r="AV31" i="5"/>
  <c r="AF31" i="5"/>
  <c r="EJ29" i="5"/>
  <c r="EF29" i="5"/>
  <c r="EH27" i="5"/>
  <c r="BC23" i="5"/>
  <c r="S23" i="5"/>
  <c r="EF23" i="5"/>
  <c r="AF23" i="5"/>
  <c r="L20" i="5"/>
  <c r="M20" i="5"/>
  <c r="DP17" i="5"/>
  <c r="BG17" i="5"/>
  <c r="BG42" i="5" s="1"/>
  <c r="BB17" i="5"/>
  <c r="AM17" i="5"/>
  <c r="K17" i="5"/>
  <c r="AG18" i="5"/>
  <c r="BD18" i="5"/>
  <c r="AH18" i="5"/>
  <c r="AJ18" i="5"/>
  <c r="AJ17" i="5" s="1"/>
  <c r="H37" i="5"/>
  <c r="EE35" i="5"/>
  <c r="M32" i="5"/>
  <c r="M31" i="5" s="1"/>
  <c r="EE31" i="5"/>
  <c r="K31" i="5"/>
  <c r="EE29" i="5"/>
  <c r="AI23" i="5"/>
  <c r="AG20" i="5"/>
  <c r="AG17" i="5" s="1"/>
  <c r="BD20" i="5"/>
  <c r="AH20" i="5"/>
  <c r="AI20" i="5"/>
  <c r="AI17" i="5" s="1"/>
  <c r="DO17" i="5"/>
  <c r="S17" i="5"/>
  <c r="P32" i="5"/>
  <c r="P31" i="5" s="1"/>
  <c r="AB30" i="5"/>
  <c r="AB29" i="5" s="1"/>
  <c r="O25" i="5"/>
  <c r="O23" i="5" s="1"/>
  <c r="BF23" i="5"/>
  <c r="BF42" i="5" s="1"/>
  <c r="BA23" i="5"/>
  <c r="V23" i="5"/>
  <c r="V42" i="5" s="1"/>
  <c r="EJ23" i="5"/>
  <c r="AZ17" i="5"/>
  <c r="AB17" i="5"/>
  <c r="O17" i="5"/>
  <c r="K14" i="5"/>
  <c r="AH15" i="5"/>
  <c r="AG15" i="5"/>
  <c r="AG14" i="5" s="1"/>
  <c r="BD15" i="5"/>
  <c r="BD14" i="5" s="1"/>
  <c r="M15" i="5"/>
  <c r="L15" i="5"/>
  <c r="EG14" i="5"/>
  <c r="EK14" i="5"/>
  <c r="EJ14" i="5"/>
  <c r="AU14" i="5"/>
  <c r="AV14" i="5"/>
  <c r="G14" i="5"/>
  <c r="H14" i="5"/>
  <c r="EG12" i="5"/>
  <c r="EK12" i="5"/>
  <c r="EI12" i="5"/>
  <c r="EJ12" i="5"/>
  <c r="M24" i="5"/>
  <c r="EE23" i="5"/>
  <c r="K23" i="5"/>
  <c r="M19" i="5"/>
  <c r="EJ17" i="5"/>
  <c r="EF17" i="5"/>
  <c r="AV17" i="5"/>
  <c r="AF17" i="5"/>
  <c r="H17" i="5"/>
  <c r="AF14" i="5"/>
  <c r="AH16" i="5"/>
  <c r="AH14" i="5" s="1"/>
  <c r="O16" i="5"/>
  <c r="EI14" i="5"/>
  <c r="AI13" i="5"/>
  <c r="AI12" i="5" s="1"/>
  <c r="AG13" i="5"/>
  <c r="AG12" i="5" s="1"/>
  <c r="BD13" i="5"/>
  <c r="BD12" i="5" s="1"/>
  <c r="AF12" i="5"/>
  <c r="AH13" i="5"/>
  <c r="AH12" i="5" s="1"/>
  <c r="P24" i="5"/>
  <c r="P23" i="5" s="1"/>
  <c r="BD22" i="5"/>
  <c r="BD17" i="5" s="1"/>
  <c r="L19" i="5"/>
  <c r="L17" i="5" s="1"/>
  <c r="EE17" i="5"/>
  <c r="AJ14" i="5"/>
  <c r="M16" i="5"/>
  <c r="M14" i="5" s="1"/>
  <c r="AJ15" i="5"/>
  <c r="O15" i="5"/>
  <c r="EH14" i="5"/>
  <c r="AX14" i="5"/>
  <c r="J14" i="5"/>
  <c r="EH12" i="5"/>
  <c r="AI14" i="5"/>
  <c r="L16" i="5"/>
  <c r="AI15" i="5"/>
  <c r="AV12" i="5"/>
  <c r="H12" i="5"/>
  <c r="AH11" i="5"/>
  <c r="AB8" i="5"/>
  <c r="AB6" i="5" s="1"/>
  <c r="AH7" i="5"/>
  <c r="EE6" i="5"/>
  <c r="BD11" i="5"/>
  <c r="AG11" i="5"/>
  <c r="BD7" i="5"/>
  <c r="BD6" i="5" s="1"/>
  <c r="AG7" i="5"/>
  <c r="AG6" i="5" s="1"/>
  <c r="EH6" i="5"/>
  <c r="P8" i="5"/>
  <c r="P6" i="5" s="1"/>
  <c r="AI7" i="5"/>
  <c r="AI6" i="5" s="1"/>
  <c r="O232" i="6" l="1"/>
  <c r="J228" i="6"/>
  <c r="L26" i="6"/>
  <c r="K26" i="6"/>
  <c r="R232" i="6"/>
  <c r="P232" i="6"/>
  <c r="P207" i="6"/>
  <c r="Q127" i="6"/>
  <c r="Q276" i="6"/>
  <c r="H275" i="6"/>
  <c r="Q275" i="6" s="1"/>
  <c r="Q284" i="6"/>
  <c r="H282" i="6"/>
  <c r="R170" i="6"/>
  <c r="G169" i="6"/>
  <c r="Q170" i="6"/>
  <c r="P283" i="6"/>
  <c r="P206" i="6"/>
  <c r="N207" i="6"/>
  <c r="O207" i="6"/>
  <c r="P138" i="6"/>
  <c r="Q87" i="6"/>
  <c r="Q77" i="6"/>
  <c r="Q37" i="6"/>
  <c r="P229" i="6"/>
  <c r="H228" i="6"/>
  <c r="L229" i="6"/>
  <c r="M229" i="6"/>
  <c r="K229" i="6"/>
  <c r="J192" i="6"/>
  <c r="J191" i="6" s="1"/>
  <c r="J271" i="6"/>
  <c r="P271" i="6" s="1"/>
  <c r="P272" i="6"/>
  <c r="Q228" i="6"/>
  <c r="G227" i="6"/>
  <c r="L45" i="6"/>
  <c r="I44" i="6"/>
  <c r="R290" i="6"/>
  <c r="H289" i="6"/>
  <c r="Q290" i="6"/>
  <c r="P290" i="6"/>
  <c r="K290" i="6"/>
  <c r="N272" i="6"/>
  <c r="N232" i="6"/>
  <c r="M272" i="6"/>
  <c r="J161" i="6"/>
  <c r="O162" i="6"/>
  <c r="O285" i="6"/>
  <c r="G284" i="6"/>
  <c r="O284" i="6" s="1"/>
  <c r="G283" i="6"/>
  <c r="O102" i="6"/>
  <c r="J101" i="6"/>
  <c r="N183" i="6"/>
  <c r="P183" i="6"/>
  <c r="J182" i="6"/>
  <c r="R11" i="6"/>
  <c r="H9" i="6"/>
  <c r="H10" i="6"/>
  <c r="K284" i="6"/>
  <c r="L284" i="6"/>
  <c r="M284" i="6"/>
  <c r="J217" i="6"/>
  <c r="L232" i="6"/>
  <c r="M232" i="6"/>
  <c r="K232" i="6"/>
  <c r="I228" i="6"/>
  <c r="M96" i="6"/>
  <c r="I95" i="6"/>
  <c r="L96" i="6"/>
  <c r="K96" i="6"/>
  <c r="K114" i="6"/>
  <c r="I113" i="6"/>
  <c r="L114" i="6"/>
  <c r="M107" i="6"/>
  <c r="L107" i="6"/>
  <c r="K107" i="6"/>
  <c r="N107" i="6"/>
  <c r="M71" i="6"/>
  <c r="I70" i="6"/>
  <c r="L71" i="6"/>
  <c r="K71" i="6"/>
  <c r="K135" i="6"/>
  <c r="M135" i="6"/>
  <c r="I134" i="6"/>
  <c r="L135" i="6"/>
  <c r="Q85" i="6"/>
  <c r="R85" i="6"/>
  <c r="H84" i="6"/>
  <c r="K77" i="6"/>
  <c r="L77" i="6"/>
  <c r="I76" i="6"/>
  <c r="R76" i="6"/>
  <c r="Q76" i="6"/>
  <c r="H75" i="6"/>
  <c r="K100" i="6"/>
  <c r="L100" i="6"/>
  <c r="I99" i="6"/>
  <c r="Q94" i="6"/>
  <c r="L177" i="6"/>
  <c r="K177" i="6"/>
  <c r="M177" i="6"/>
  <c r="O37" i="6"/>
  <c r="J35" i="6"/>
  <c r="J36" i="6"/>
  <c r="K31" i="6"/>
  <c r="K13" i="6"/>
  <c r="L13" i="6"/>
  <c r="M13" i="6"/>
  <c r="I12" i="6"/>
  <c r="L252" i="6"/>
  <c r="K252" i="6"/>
  <c r="I245" i="6"/>
  <c r="M252" i="6"/>
  <c r="N262" i="6"/>
  <c r="O262" i="6"/>
  <c r="P262" i="6"/>
  <c r="K289" i="6"/>
  <c r="L289" i="6"/>
  <c r="M289" i="6"/>
  <c r="I288" i="6"/>
  <c r="K282" i="6"/>
  <c r="L282" i="6"/>
  <c r="M282" i="6"/>
  <c r="I281" i="6"/>
  <c r="N252" i="6"/>
  <c r="L193" i="6"/>
  <c r="Q199" i="6"/>
  <c r="K199" i="6"/>
  <c r="R245" i="6"/>
  <c r="Q245" i="6"/>
  <c r="H244" i="6"/>
  <c r="L174" i="6"/>
  <c r="K174" i="6"/>
  <c r="M174" i="6"/>
  <c r="I173" i="6"/>
  <c r="P199" i="6"/>
  <c r="K181" i="6"/>
  <c r="I180" i="6"/>
  <c r="Q138" i="6"/>
  <c r="M120" i="6"/>
  <c r="L120" i="6"/>
  <c r="K120" i="6"/>
  <c r="Q161" i="6"/>
  <c r="H160" i="6"/>
  <c r="R161" i="6"/>
  <c r="M64" i="6"/>
  <c r="I49" i="6"/>
  <c r="L64" i="6"/>
  <c r="K64" i="6"/>
  <c r="M162" i="6"/>
  <c r="L162" i="6"/>
  <c r="N162" i="6"/>
  <c r="K162" i="6"/>
  <c r="I161" i="6"/>
  <c r="P152" i="6"/>
  <c r="O152" i="6"/>
  <c r="N152" i="6"/>
  <c r="J151" i="6"/>
  <c r="P45" i="6"/>
  <c r="N45" i="6"/>
  <c r="J44" i="6"/>
  <c r="M45" i="6"/>
  <c r="O45" i="6"/>
  <c r="N144" i="6"/>
  <c r="J143" i="6"/>
  <c r="P144" i="6"/>
  <c r="O144" i="6"/>
  <c r="O13" i="6"/>
  <c r="N13" i="6"/>
  <c r="J12" i="6"/>
  <c r="P13" i="6"/>
  <c r="K38" i="6"/>
  <c r="I37" i="6"/>
  <c r="M38" i="6"/>
  <c r="M30" i="6"/>
  <c r="N246" i="6"/>
  <c r="J245" i="6"/>
  <c r="O246" i="6"/>
  <c r="P246" i="6"/>
  <c r="L220" i="6"/>
  <c r="I219" i="6"/>
  <c r="M220" i="6"/>
  <c r="K220" i="6"/>
  <c r="H236" i="6"/>
  <c r="Q237" i="6"/>
  <c r="K237" i="6"/>
  <c r="Q182" i="6"/>
  <c r="H181" i="6"/>
  <c r="L181" i="6" s="1"/>
  <c r="M144" i="6"/>
  <c r="I143" i="6"/>
  <c r="L144" i="6"/>
  <c r="K144" i="6"/>
  <c r="P115" i="6"/>
  <c r="N115" i="6"/>
  <c r="J114" i="6"/>
  <c r="M114" i="6" s="1"/>
  <c r="M115" i="6"/>
  <c r="M89" i="6"/>
  <c r="I88" i="6"/>
  <c r="L89" i="6"/>
  <c r="K89" i="6"/>
  <c r="K182" i="6"/>
  <c r="O128" i="6"/>
  <c r="P128" i="6"/>
  <c r="J126" i="6"/>
  <c r="N128" i="6"/>
  <c r="J127" i="6"/>
  <c r="Q141" i="6"/>
  <c r="R141" i="6"/>
  <c r="H99" i="6"/>
  <c r="R100" i="6"/>
  <c r="Q100" i="6"/>
  <c r="H111" i="6"/>
  <c r="Q111" i="6" s="1"/>
  <c r="Q112" i="6"/>
  <c r="O79" i="6"/>
  <c r="N79" i="6"/>
  <c r="J78" i="6"/>
  <c r="P79" i="6"/>
  <c r="L152" i="6"/>
  <c r="M152" i="6"/>
  <c r="K152" i="6"/>
  <c r="I151" i="6"/>
  <c r="N89" i="6"/>
  <c r="J88" i="6"/>
  <c r="P89" i="6"/>
  <c r="O89" i="6"/>
  <c r="R24" i="6"/>
  <c r="H23" i="6"/>
  <c r="Q24" i="6"/>
  <c r="Q35" i="6"/>
  <c r="N26" i="6"/>
  <c r="J25" i="6"/>
  <c r="P26" i="6"/>
  <c r="O26" i="6"/>
  <c r="O18" i="6"/>
  <c r="N18" i="6"/>
  <c r="J17" i="6"/>
  <c r="P18" i="6"/>
  <c r="O134" i="6"/>
  <c r="P134" i="6"/>
  <c r="N134" i="6"/>
  <c r="J133" i="6"/>
  <c r="R125" i="6"/>
  <c r="Q125" i="6"/>
  <c r="M262" i="6"/>
  <c r="K262" i="6"/>
  <c r="L262" i="6"/>
  <c r="J276" i="6"/>
  <c r="N277" i="6"/>
  <c r="P277" i="6"/>
  <c r="M277" i="6"/>
  <c r="L277" i="6"/>
  <c r="K277" i="6"/>
  <c r="I276" i="6"/>
  <c r="H218" i="6"/>
  <c r="Q219" i="6"/>
  <c r="P219" i="6"/>
  <c r="M271" i="6"/>
  <c r="L271" i="6"/>
  <c r="K271" i="6"/>
  <c r="N236" i="6"/>
  <c r="J235" i="6"/>
  <c r="P236" i="6"/>
  <c r="M236" i="6"/>
  <c r="Q267" i="6"/>
  <c r="G244" i="6"/>
  <c r="G243" i="6" s="1"/>
  <c r="O267" i="6"/>
  <c r="J190" i="6"/>
  <c r="L207" i="6"/>
  <c r="I206" i="6"/>
  <c r="M207" i="6"/>
  <c r="K207" i="6"/>
  <c r="L196" i="6"/>
  <c r="K196" i="6"/>
  <c r="M196" i="6"/>
  <c r="I192" i="6"/>
  <c r="Q193" i="6"/>
  <c r="H192" i="6"/>
  <c r="K193" i="6"/>
  <c r="R205" i="6"/>
  <c r="Q205" i="6"/>
  <c r="O205" i="6"/>
  <c r="G189" i="6"/>
  <c r="G157" i="6" s="1"/>
  <c r="K128" i="6"/>
  <c r="I126" i="6"/>
  <c r="I127" i="6"/>
  <c r="M128" i="6"/>
  <c r="L128" i="6"/>
  <c r="P177" i="6"/>
  <c r="O177" i="6"/>
  <c r="N177" i="6"/>
  <c r="J172" i="6"/>
  <c r="R135" i="6"/>
  <c r="Q135" i="6"/>
  <c r="H134" i="6"/>
  <c r="H43" i="6"/>
  <c r="R49" i="6"/>
  <c r="Q49" i="6"/>
  <c r="R151" i="6"/>
  <c r="Q151" i="6"/>
  <c r="G150" i="6"/>
  <c r="P96" i="6"/>
  <c r="N96" i="6"/>
  <c r="J95" i="6"/>
  <c r="R31" i="6"/>
  <c r="H30" i="6"/>
  <c r="Q31" i="6"/>
  <c r="P31" i="6"/>
  <c r="P182" i="6"/>
  <c r="N120" i="6"/>
  <c r="P120" i="6"/>
  <c r="Q44" i="6"/>
  <c r="G43" i="6"/>
  <c r="G42" i="6" s="1"/>
  <c r="G41" i="6" s="1"/>
  <c r="G36" i="6"/>
  <c r="G35" i="6"/>
  <c r="G8" i="6" s="1"/>
  <c r="L25" i="6"/>
  <c r="K25" i="6"/>
  <c r="M25" i="6"/>
  <c r="I24" i="6"/>
  <c r="K18" i="6"/>
  <c r="L18" i="6"/>
  <c r="M18" i="6"/>
  <c r="I17" i="6"/>
  <c r="AO42" i="5"/>
  <c r="DZ70" i="5"/>
  <c r="DZ74" i="5"/>
  <c r="DZ72" i="5"/>
  <c r="AZ42" i="5"/>
  <c r="BA42" i="5"/>
  <c r="AH17" i="5"/>
  <c r="AM42" i="5"/>
  <c r="H42" i="5"/>
  <c r="DD52" i="5"/>
  <c r="DD64" i="5"/>
  <c r="L14" i="5"/>
  <c r="L42" i="5" s="1"/>
  <c r="M17" i="5"/>
  <c r="BB42" i="5"/>
  <c r="BC42" i="5"/>
  <c r="DM15" i="5"/>
  <c r="DM14" i="5" s="1"/>
  <c r="Z6" i="5"/>
  <c r="M23" i="5"/>
  <c r="K42" i="5"/>
  <c r="N10" i="5" s="1"/>
  <c r="Y37" i="5"/>
  <c r="AJ42" i="5"/>
  <c r="S42" i="5"/>
  <c r="DL37" i="5"/>
  <c r="AB42" i="5"/>
  <c r="Z23" i="5"/>
  <c r="AI42" i="5"/>
  <c r="AA17" i="5"/>
  <c r="AA14" i="5"/>
  <c r="BL23" i="5"/>
  <c r="N8" i="5"/>
  <c r="N7" i="5"/>
  <c r="N11" i="5"/>
  <c r="N21" i="5"/>
  <c r="N24" i="5"/>
  <c r="N30" i="5"/>
  <c r="N29" i="5" s="1"/>
  <c r="N33" i="5"/>
  <c r="N34" i="5"/>
  <c r="N19" i="5"/>
  <c r="N22" i="5"/>
  <c r="N39" i="5"/>
  <c r="N38" i="5"/>
  <c r="N20" i="5"/>
  <c r="N16" i="5"/>
  <c r="N18" i="5"/>
  <c r="N25" i="5"/>
  <c r="N32" i="5"/>
  <c r="N31" i="5" s="1"/>
  <c r="BD42" i="5"/>
  <c r="AG42" i="5"/>
  <c r="AH6" i="5"/>
  <c r="AH42" i="5" s="1"/>
  <c r="P42" i="5"/>
  <c r="M42" i="5"/>
  <c r="BK37" i="5"/>
  <c r="DN6" i="5"/>
  <c r="BK31" i="5"/>
  <c r="BK14" i="5"/>
  <c r="BK6" i="5"/>
  <c r="DL31" i="5"/>
  <c r="DL23" i="5"/>
  <c r="U42" i="5"/>
  <c r="Z17" i="5"/>
  <c r="DK17" i="5"/>
  <c r="DK6" i="5"/>
  <c r="BL31" i="5"/>
  <c r="BL14" i="5"/>
  <c r="BL6" i="5"/>
  <c r="DM37" i="5"/>
  <c r="DM23" i="5"/>
  <c r="DM17" i="5"/>
  <c r="BJ23" i="5"/>
  <c r="G42" i="5"/>
  <c r="AU42" i="5"/>
  <c r="AV42" i="5"/>
  <c r="DN23" i="5"/>
  <c r="DN14" i="5"/>
  <c r="EL37" i="5"/>
  <c r="EB42" i="5"/>
  <c r="EB70" i="5" s="1"/>
  <c r="EM37" i="5"/>
  <c r="EJ37" i="5"/>
  <c r="AA37" i="5"/>
  <c r="DK31" i="5"/>
  <c r="Y31" i="5"/>
  <c r="Y14" i="5"/>
  <c r="BJ17" i="5"/>
  <c r="BJ31" i="5"/>
  <c r="O14" i="5"/>
  <c r="O42" i="5" s="1"/>
  <c r="AF42" i="5"/>
  <c r="AX42" i="5"/>
  <c r="AA31" i="5"/>
  <c r="BK23" i="5"/>
  <c r="BK17" i="5"/>
  <c r="DL17" i="5"/>
  <c r="DL14" i="5"/>
  <c r="DL6" i="5"/>
  <c r="EF37" i="5"/>
  <c r="DK14" i="5"/>
  <c r="DK23" i="5"/>
  <c r="BL37" i="5"/>
  <c r="BL17" i="5"/>
  <c r="DM31" i="5"/>
  <c r="DM6" i="5"/>
  <c r="EG42" i="5"/>
  <c r="EG70" i="5" s="1"/>
  <c r="EH42" i="5"/>
  <c r="EE42" i="5"/>
  <c r="EF42" i="5"/>
  <c r="Y17" i="5"/>
  <c r="R10" i="6" l="1"/>
  <c r="Q10" i="6"/>
  <c r="O283" i="6"/>
  <c r="G282" i="6"/>
  <c r="J160" i="6"/>
  <c r="O161" i="6"/>
  <c r="P161" i="6"/>
  <c r="R9" i="6"/>
  <c r="Q9" i="6"/>
  <c r="L44" i="6"/>
  <c r="K44" i="6"/>
  <c r="Q283" i="6"/>
  <c r="R284" i="6"/>
  <c r="P101" i="6"/>
  <c r="M101" i="6"/>
  <c r="O101" i="6"/>
  <c r="J100" i="6"/>
  <c r="N101" i="6"/>
  <c r="P282" i="6"/>
  <c r="J227" i="6"/>
  <c r="O228" i="6"/>
  <c r="N182" i="6"/>
  <c r="M182" i="6"/>
  <c r="J181" i="6"/>
  <c r="P181" i="6" s="1"/>
  <c r="R289" i="6"/>
  <c r="H288" i="6"/>
  <c r="Q289" i="6"/>
  <c r="P289" i="6"/>
  <c r="G226" i="6"/>
  <c r="P228" i="6"/>
  <c r="H227" i="6"/>
  <c r="R228" i="6"/>
  <c r="N271" i="6"/>
  <c r="R283" i="6"/>
  <c r="P95" i="6"/>
  <c r="N95" i="6"/>
  <c r="J94" i="6"/>
  <c r="Q218" i="6"/>
  <c r="H217" i="6"/>
  <c r="P217" i="6" s="1"/>
  <c r="Q36" i="6"/>
  <c r="R36" i="6"/>
  <c r="R30" i="6"/>
  <c r="P30" i="6"/>
  <c r="Q30" i="6"/>
  <c r="Q134" i="6"/>
  <c r="H133" i="6"/>
  <c r="R134" i="6"/>
  <c r="O133" i="6"/>
  <c r="J132" i="6"/>
  <c r="P133" i="6"/>
  <c r="O127" i="6"/>
  <c r="P127" i="6"/>
  <c r="N127" i="6"/>
  <c r="M88" i="6"/>
  <c r="I87" i="6"/>
  <c r="I86" i="6"/>
  <c r="L88" i="6"/>
  <c r="K88" i="6"/>
  <c r="M143" i="6"/>
  <c r="I142" i="6"/>
  <c r="L143" i="6"/>
  <c r="K143" i="6"/>
  <c r="L30" i="6"/>
  <c r="P44" i="6"/>
  <c r="N44" i="6"/>
  <c r="J43" i="6"/>
  <c r="O44" i="6"/>
  <c r="M44" i="6"/>
  <c r="L173" i="6"/>
  <c r="K173" i="6"/>
  <c r="M173" i="6"/>
  <c r="I172" i="6"/>
  <c r="N173" i="6"/>
  <c r="R244" i="6"/>
  <c r="Q244" i="6"/>
  <c r="H243" i="6"/>
  <c r="R75" i="6"/>
  <c r="Q75" i="6"/>
  <c r="H74" i="6"/>
  <c r="K70" i="6"/>
  <c r="M70" i="6"/>
  <c r="L70" i="6"/>
  <c r="N70" i="6"/>
  <c r="K95" i="6"/>
  <c r="I94" i="6"/>
  <c r="M95" i="6"/>
  <c r="L95" i="6"/>
  <c r="J216" i="6"/>
  <c r="G149" i="6"/>
  <c r="R150" i="6"/>
  <c r="Q150" i="6"/>
  <c r="K127" i="6"/>
  <c r="M127" i="6"/>
  <c r="L127" i="6"/>
  <c r="Q192" i="6"/>
  <c r="H191" i="6"/>
  <c r="P192" i="6"/>
  <c r="L206" i="6"/>
  <c r="I205" i="6"/>
  <c r="M206" i="6"/>
  <c r="K206" i="6"/>
  <c r="N206" i="6"/>
  <c r="P276" i="6"/>
  <c r="N276" i="6"/>
  <c r="J275" i="6"/>
  <c r="O17" i="6"/>
  <c r="N17" i="6"/>
  <c r="P17" i="6"/>
  <c r="R35" i="6"/>
  <c r="L151" i="6"/>
  <c r="M151" i="6"/>
  <c r="K151" i="6"/>
  <c r="I150" i="6"/>
  <c r="R99" i="6"/>
  <c r="Q99" i="6"/>
  <c r="H93" i="6"/>
  <c r="L219" i="6"/>
  <c r="M219" i="6"/>
  <c r="I218" i="6"/>
  <c r="K219" i="6"/>
  <c r="N219" i="6"/>
  <c r="N245" i="6"/>
  <c r="J244" i="6"/>
  <c r="O245" i="6"/>
  <c r="P245" i="6"/>
  <c r="K30" i="6"/>
  <c r="H159" i="6"/>
  <c r="R160" i="6"/>
  <c r="Q160" i="6"/>
  <c r="P160" i="6"/>
  <c r="K12" i="6"/>
  <c r="L12" i="6"/>
  <c r="M12" i="6"/>
  <c r="I11" i="6"/>
  <c r="O36" i="6"/>
  <c r="K99" i="6"/>
  <c r="L99" i="6"/>
  <c r="H180" i="6"/>
  <c r="L180" i="6" s="1"/>
  <c r="Q181" i="6"/>
  <c r="H235" i="6"/>
  <c r="Q236" i="6"/>
  <c r="L236" i="6"/>
  <c r="K236" i="6"/>
  <c r="O12" i="6"/>
  <c r="P12" i="6"/>
  <c r="N12" i="6"/>
  <c r="J11" i="6"/>
  <c r="K49" i="6"/>
  <c r="M49" i="6"/>
  <c r="L49" i="6"/>
  <c r="I43" i="6"/>
  <c r="N49" i="6"/>
  <c r="M281" i="6"/>
  <c r="I280" i="6"/>
  <c r="N281" i="6"/>
  <c r="K288" i="6"/>
  <c r="L288" i="6"/>
  <c r="M288" i="6"/>
  <c r="N288" i="6"/>
  <c r="M245" i="6"/>
  <c r="I244" i="6"/>
  <c r="K245" i="6"/>
  <c r="L245" i="6"/>
  <c r="O35" i="6"/>
  <c r="L228" i="6"/>
  <c r="K228" i="6"/>
  <c r="I227" i="6"/>
  <c r="M228" i="6"/>
  <c r="N228" i="6"/>
  <c r="P218" i="6"/>
  <c r="K126" i="6"/>
  <c r="I125" i="6"/>
  <c r="M126" i="6"/>
  <c r="L126" i="6"/>
  <c r="N25" i="6"/>
  <c r="J24" i="6"/>
  <c r="P25" i="6"/>
  <c r="O25" i="6"/>
  <c r="O78" i="6"/>
  <c r="N78" i="6"/>
  <c r="J77" i="6"/>
  <c r="P78" i="6"/>
  <c r="M78" i="6"/>
  <c r="O126" i="6"/>
  <c r="P126" i="6"/>
  <c r="N126" i="6"/>
  <c r="J125" i="6"/>
  <c r="K17" i="6"/>
  <c r="L17" i="6"/>
  <c r="M17" i="6"/>
  <c r="M24" i="6"/>
  <c r="L24" i="6"/>
  <c r="K24" i="6"/>
  <c r="I23" i="6"/>
  <c r="H42" i="6"/>
  <c r="R43" i="6"/>
  <c r="Q43" i="6"/>
  <c r="P172" i="6"/>
  <c r="O172" i="6"/>
  <c r="N172" i="6"/>
  <c r="J171" i="6"/>
  <c r="L192" i="6"/>
  <c r="K192" i="6"/>
  <c r="I191" i="6"/>
  <c r="N192" i="6"/>
  <c r="M192" i="6"/>
  <c r="J189" i="6"/>
  <c r="N235" i="6"/>
  <c r="P235" i="6"/>
  <c r="K276" i="6"/>
  <c r="I275" i="6"/>
  <c r="L276" i="6"/>
  <c r="M276" i="6"/>
  <c r="R23" i="6"/>
  <c r="Q23" i="6"/>
  <c r="H22" i="6"/>
  <c r="O88" i="6"/>
  <c r="N88" i="6"/>
  <c r="J87" i="6"/>
  <c r="P88" i="6"/>
  <c r="J86" i="6"/>
  <c r="J113" i="6"/>
  <c r="P114" i="6"/>
  <c r="N114" i="6"/>
  <c r="M37" i="6"/>
  <c r="I35" i="6"/>
  <c r="K37" i="6"/>
  <c r="I36" i="6"/>
  <c r="O143" i="6"/>
  <c r="N143" i="6"/>
  <c r="J142" i="6"/>
  <c r="P143" i="6"/>
  <c r="P151" i="6"/>
  <c r="J150" i="6"/>
  <c r="O151" i="6"/>
  <c r="N151" i="6"/>
  <c r="L161" i="6"/>
  <c r="M161" i="6"/>
  <c r="I160" i="6"/>
  <c r="K161" i="6"/>
  <c r="N161" i="6"/>
  <c r="M235" i="6"/>
  <c r="K76" i="6"/>
  <c r="L76" i="6"/>
  <c r="I75" i="6"/>
  <c r="Q84" i="6"/>
  <c r="H83" i="6"/>
  <c r="R84" i="6"/>
  <c r="K134" i="6"/>
  <c r="L134" i="6"/>
  <c r="I133" i="6"/>
  <c r="N133" i="6" s="1"/>
  <c r="M134" i="6"/>
  <c r="K113" i="6"/>
  <c r="I112" i="6"/>
  <c r="M113" i="6"/>
  <c r="L113" i="6"/>
  <c r="AA42" i="5"/>
  <c r="N15" i="5"/>
  <c r="N14" i="5" s="1"/>
  <c r="N13" i="5"/>
  <c r="N12" i="5" s="1"/>
  <c r="N41" i="5"/>
  <c r="N40" i="5" s="1"/>
  <c r="N36" i="5"/>
  <c r="N35" i="5" s="1"/>
  <c r="N26" i="5"/>
  <c r="N23" i="5" s="1"/>
  <c r="Y42" i="5"/>
  <c r="BL42" i="5"/>
  <c r="BJ42" i="5"/>
  <c r="Z42" i="5"/>
  <c r="N6" i="5"/>
  <c r="EL42" i="5"/>
  <c r="EJ42" i="5"/>
  <c r="EM42" i="5"/>
  <c r="AL8" i="5"/>
  <c r="AL9" i="5"/>
  <c r="AL10" i="5"/>
  <c r="AL21" i="5"/>
  <c r="AL19" i="5"/>
  <c r="AL22" i="5"/>
  <c r="AL24" i="5"/>
  <c r="AL25" i="5"/>
  <c r="AL33" i="5"/>
  <c r="AL36" i="5"/>
  <c r="AL35" i="5" s="1"/>
  <c r="AL26" i="5"/>
  <c r="AL30" i="5"/>
  <c r="AL29" i="5" s="1"/>
  <c r="AL18" i="5"/>
  <c r="AL32" i="5"/>
  <c r="AL34" i="5"/>
  <c r="AL39" i="5"/>
  <c r="AL38" i="5"/>
  <c r="AL41" i="5"/>
  <c r="AL40" i="5" s="1"/>
  <c r="AL20" i="5"/>
  <c r="AL16" i="5"/>
  <c r="AL13" i="5"/>
  <c r="AL12" i="5" s="1"/>
  <c r="AL15" i="5"/>
  <c r="AL7" i="5"/>
  <c r="AL11" i="5"/>
  <c r="N37" i="5"/>
  <c r="N17" i="5"/>
  <c r="BK42" i="5"/>
  <c r="O282" i="6" l="1"/>
  <c r="G281" i="6"/>
  <c r="P227" i="6"/>
  <c r="H226" i="6"/>
  <c r="H225" i="6" s="1"/>
  <c r="R227" i="6"/>
  <c r="J226" i="6"/>
  <c r="O226" i="6" s="1"/>
  <c r="O227" i="6"/>
  <c r="R282" i="6"/>
  <c r="R288" i="6"/>
  <c r="Q288" i="6"/>
  <c r="P288" i="6"/>
  <c r="Q282" i="6"/>
  <c r="P100" i="6"/>
  <c r="J99" i="6"/>
  <c r="O100" i="6"/>
  <c r="N100" i="6"/>
  <c r="M100" i="6"/>
  <c r="G225" i="6"/>
  <c r="G224" i="6" s="1"/>
  <c r="J180" i="6"/>
  <c r="M181" i="6"/>
  <c r="N181" i="6"/>
  <c r="Q227" i="6"/>
  <c r="H281" i="6"/>
  <c r="O160" i="6"/>
  <c r="J159" i="6"/>
  <c r="R83" i="6"/>
  <c r="Q83" i="6"/>
  <c r="R42" i="6"/>
  <c r="Q42" i="6"/>
  <c r="H41" i="6"/>
  <c r="O125" i="6"/>
  <c r="P125" i="6"/>
  <c r="N125" i="6"/>
  <c r="Q93" i="6"/>
  <c r="R93" i="6"/>
  <c r="P43" i="6"/>
  <c r="N43" i="6"/>
  <c r="J42" i="6"/>
  <c r="O43" i="6"/>
  <c r="K36" i="6"/>
  <c r="M36" i="6"/>
  <c r="L205" i="6"/>
  <c r="M205" i="6"/>
  <c r="K205" i="6"/>
  <c r="N205" i="6"/>
  <c r="J215" i="6"/>
  <c r="R133" i="6"/>
  <c r="H132" i="6"/>
  <c r="Q133" i="6"/>
  <c r="K180" i="6"/>
  <c r="L160" i="6"/>
  <c r="M160" i="6"/>
  <c r="I159" i="6"/>
  <c r="K160" i="6"/>
  <c r="N160" i="6"/>
  <c r="P142" i="6"/>
  <c r="O142" i="6"/>
  <c r="J141" i="6"/>
  <c r="N142" i="6"/>
  <c r="P87" i="6"/>
  <c r="O87" i="6"/>
  <c r="N87" i="6"/>
  <c r="M275" i="6"/>
  <c r="L275" i="6"/>
  <c r="K275" i="6"/>
  <c r="O189" i="6"/>
  <c r="P171" i="6"/>
  <c r="O171" i="6"/>
  <c r="J170" i="6"/>
  <c r="O77" i="6"/>
  <c r="N77" i="6"/>
  <c r="J76" i="6"/>
  <c r="P77" i="6"/>
  <c r="M77" i="6"/>
  <c r="M280" i="6"/>
  <c r="N280" i="6"/>
  <c r="Q235" i="6"/>
  <c r="K235" i="6"/>
  <c r="L235" i="6"/>
  <c r="K11" i="6"/>
  <c r="L11" i="6"/>
  <c r="M11" i="6"/>
  <c r="I10" i="6"/>
  <c r="I9" i="6"/>
  <c r="R243" i="6"/>
  <c r="Q243" i="6"/>
  <c r="L172" i="6"/>
  <c r="K172" i="6"/>
  <c r="M172" i="6"/>
  <c r="I171" i="6"/>
  <c r="M142" i="6"/>
  <c r="I141" i="6"/>
  <c r="K142" i="6"/>
  <c r="L142" i="6"/>
  <c r="M86" i="6"/>
  <c r="I85" i="6"/>
  <c r="L86" i="6"/>
  <c r="K86" i="6"/>
  <c r="N94" i="6"/>
  <c r="P94" i="6"/>
  <c r="K133" i="6"/>
  <c r="M133" i="6"/>
  <c r="I132" i="6"/>
  <c r="N132" i="6" s="1"/>
  <c r="L133" i="6"/>
  <c r="P86" i="6"/>
  <c r="J85" i="6"/>
  <c r="O86" i="6"/>
  <c r="N86" i="6"/>
  <c r="H190" i="6"/>
  <c r="Q191" i="6"/>
  <c r="P191" i="6"/>
  <c r="H216" i="6"/>
  <c r="Q217" i="6"/>
  <c r="I111" i="6"/>
  <c r="L112" i="6"/>
  <c r="K112" i="6"/>
  <c r="R22" i="6"/>
  <c r="Q22" i="6"/>
  <c r="L218" i="6"/>
  <c r="K218" i="6"/>
  <c r="I217" i="6"/>
  <c r="M218" i="6"/>
  <c r="N218" i="6"/>
  <c r="M94" i="6"/>
  <c r="L94" i="6"/>
  <c r="K94" i="6"/>
  <c r="O132" i="6"/>
  <c r="P132" i="6"/>
  <c r="J131" i="6"/>
  <c r="K75" i="6"/>
  <c r="L75" i="6"/>
  <c r="I74" i="6"/>
  <c r="P150" i="6"/>
  <c r="O150" i="6"/>
  <c r="N150" i="6"/>
  <c r="J149" i="6"/>
  <c r="M35" i="6"/>
  <c r="K35" i="6"/>
  <c r="P113" i="6"/>
  <c r="J112" i="6"/>
  <c r="M112" i="6" s="1"/>
  <c r="N113" i="6"/>
  <c r="M191" i="6"/>
  <c r="L191" i="6"/>
  <c r="I190" i="6"/>
  <c r="K191" i="6"/>
  <c r="N191" i="6"/>
  <c r="N24" i="6"/>
  <c r="J23" i="6"/>
  <c r="P24" i="6"/>
  <c r="O24" i="6"/>
  <c r="K125" i="6"/>
  <c r="M125" i="6"/>
  <c r="L125" i="6"/>
  <c r="M244" i="6"/>
  <c r="I243" i="6"/>
  <c r="K244" i="6"/>
  <c r="L244" i="6"/>
  <c r="L43" i="6"/>
  <c r="M43" i="6"/>
  <c r="I42" i="6"/>
  <c r="K43" i="6"/>
  <c r="O11" i="6"/>
  <c r="N11" i="6"/>
  <c r="J10" i="6"/>
  <c r="J9" i="6"/>
  <c r="P11" i="6"/>
  <c r="I93" i="6"/>
  <c r="L150" i="6"/>
  <c r="K150" i="6"/>
  <c r="I149" i="6"/>
  <c r="M150" i="6"/>
  <c r="N275" i="6"/>
  <c r="P275" i="6"/>
  <c r="R149" i="6"/>
  <c r="Q149" i="6"/>
  <c r="G110" i="6"/>
  <c r="R74" i="6"/>
  <c r="Q74" i="6"/>
  <c r="M87" i="6"/>
  <c r="K87" i="6"/>
  <c r="L87" i="6"/>
  <c r="Q180" i="6"/>
  <c r="H169" i="6"/>
  <c r="Q169" i="6" s="1"/>
  <c r="L227" i="6"/>
  <c r="K227" i="6"/>
  <c r="I226" i="6"/>
  <c r="M227" i="6"/>
  <c r="N227" i="6"/>
  <c r="K23" i="6"/>
  <c r="I22" i="6"/>
  <c r="L23" i="6"/>
  <c r="H158" i="6"/>
  <c r="R159" i="6"/>
  <c r="Q159" i="6"/>
  <c r="P159" i="6"/>
  <c r="N244" i="6"/>
  <c r="J243" i="6"/>
  <c r="O244" i="6"/>
  <c r="P244" i="6"/>
  <c r="AL31" i="5"/>
  <c r="N42" i="5"/>
  <c r="AL37" i="5"/>
  <c r="AL17" i="5"/>
  <c r="AL14" i="5"/>
  <c r="AL6" i="5"/>
  <c r="AL23" i="5"/>
  <c r="M180" i="6" l="1"/>
  <c r="N180" i="6"/>
  <c r="P99" i="6"/>
  <c r="N99" i="6"/>
  <c r="M99" i="6"/>
  <c r="O99" i="6"/>
  <c r="J93" i="6"/>
  <c r="G300" i="6"/>
  <c r="G7" i="6" s="1"/>
  <c r="P180" i="6"/>
  <c r="O159" i="6"/>
  <c r="J158" i="6"/>
  <c r="O158" i="6" s="1"/>
  <c r="O281" i="6"/>
  <c r="G280" i="6"/>
  <c r="O280" i="6" s="1"/>
  <c r="R281" i="6"/>
  <c r="H280" i="6"/>
  <c r="Q281" i="6"/>
  <c r="P281" i="6"/>
  <c r="K281" i="6"/>
  <c r="L281" i="6"/>
  <c r="P226" i="6"/>
  <c r="R226" i="6"/>
  <c r="Q226" i="6"/>
  <c r="Q158" i="6"/>
  <c r="R158" i="6"/>
  <c r="O9" i="6"/>
  <c r="P9" i="6"/>
  <c r="N9" i="6"/>
  <c r="N85" i="6"/>
  <c r="J84" i="6"/>
  <c r="P85" i="6"/>
  <c r="O85" i="6"/>
  <c r="L171" i="6"/>
  <c r="K171" i="6"/>
  <c r="I170" i="6"/>
  <c r="N170" i="6" s="1"/>
  <c r="M171" i="6"/>
  <c r="L10" i="6"/>
  <c r="K10" i="6"/>
  <c r="M10" i="6"/>
  <c r="N171" i="6"/>
  <c r="R41" i="6"/>
  <c r="Q41" i="6"/>
  <c r="K22" i="6"/>
  <c r="L22" i="6"/>
  <c r="P23" i="6"/>
  <c r="O23" i="6"/>
  <c r="N23" i="6"/>
  <c r="J22" i="6"/>
  <c r="L190" i="6"/>
  <c r="K190" i="6"/>
  <c r="I189" i="6"/>
  <c r="M190" i="6"/>
  <c r="N190" i="6"/>
  <c r="P112" i="6"/>
  <c r="N112" i="6"/>
  <c r="J111" i="6"/>
  <c r="P149" i="6"/>
  <c r="N149" i="6"/>
  <c r="O149" i="6"/>
  <c r="O131" i="6"/>
  <c r="Q216" i="6"/>
  <c r="H215" i="6"/>
  <c r="Q215" i="6" s="1"/>
  <c r="M85" i="6"/>
  <c r="L85" i="6"/>
  <c r="K85" i="6"/>
  <c r="I84" i="6"/>
  <c r="M141" i="6"/>
  <c r="L141" i="6"/>
  <c r="K141" i="6"/>
  <c r="P141" i="6"/>
  <c r="O141" i="6"/>
  <c r="N141" i="6"/>
  <c r="P216" i="6"/>
  <c r="H224" i="6"/>
  <c r="R225" i="6"/>
  <c r="Q225" i="6"/>
  <c r="P170" i="6"/>
  <c r="J169" i="6"/>
  <c r="O170" i="6"/>
  <c r="P42" i="6"/>
  <c r="N42" i="6"/>
  <c r="J41" i="6"/>
  <c r="O42" i="6"/>
  <c r="O10" i="6"/>
  <c r="P10" i="6"/>
  <c r="N10" i="6"/>
  <c r="L42" i="6"/>
  <c r="K42" i="6"/>
  <c r="M42" i="6"/>
  <c r="I41" i="6"/>
  <c r="I8" i="6" s="1"/>
  <c r="Q190" i="6"/>
  <c r="H189" i="6"/>
  <c r="H157" i="6" s="1"/>
  <c r="P190" i="6"/>
  <c r="O76" i="6"/>
  <c r="N76" i="6"/>
  <c r="J75" i="6"/>
  <c r="P76" i="6"/>
  <c r="M76" i="6"/>
  <c r="L93" i="6"/>
  <c r="K93" i="6"/>
  <c r="M243" i="6"/>
  <c r="K243" i="6"/>
  <c r="L243" i="6"/>
  <c r="N243" i="6"/>
  <c r="O243" i="6"/>
  <c r="P243" i="6"/>
  <c r="J225" i="6"/>
  <c r="M23" i="6"/>
  <c r="L226" i="6"/>
  <c r="K226" i="6"/>
  <c r="I225" i="6"/>
  <c r="M226" i="6"/>
  <c r="N226" i="6"/>
  <c r="L149" i="6"/>
  <c r="M149" i="6"/>
  <c r="K149" i="6"/>
  <c r="K74" i="6"/>
  <c r="L74" i="6"/>
  <c r="L217" i="6"/>
  <c r="M217" i="6"/>
  <c r="K217" i="6"/>
  <c r="I216" i="6"/>
  <c r="N217" i="6"/>
  <c r="H8" i="6"/>
  <c r="K111" i="6"/>
  <c r="L111" i="6"/>
  <c r="K132" i="6"/>
  <c r="M132" i="6"/>
  <c r="L132" i="6"/>
  <c r="I131" i="6"/>
  <c r="K9" i="6"/>
  <c r="L9" i="6"/>
  <c r="M9" i="6"/>
  <c r="L159" i="6"/>
  <c r="K159" i="6"/>
  <c r="I158" i="6"/>
  <c r="M159" i="6"/>
  <c r="N159" i="6"/>
  <c r="J110" i="6"/>
  <c r="Q132" i="6"/>
  <c r="H131" i="6"/>
  <c r="R132" i="6"/>
  <c r="AL42" i="5"/>
  <c r="N93" i="6" l="1"/>
  <c r="P93" i="6"/>
  <c r="O93" i="6"/>
  <c r="M93" i="6"/>
  <c r="P158" i="6"/>
  <c r="R280" i="6"/>
  <c r="Q280" i="6"/>
  <c r="P280" i="6"/>
  <c r="L280" i="6"/>
  <c r="K280" i="6"/>
  <c r="L8" i="6"/>
  <c r="K8" i="6"/>
  <c r="O110" i="6"/>
  <c r="P169" i="6"/>
  <c r="J157" i="6"/>
  <c r="P111" i="6"/>
  <c r="N111" i="6"/>
  <c r="O22" i="6"/>
  <c r="N22" i="6"/>
  <c r="P22" i="6"/>
  <c r="R157" i="6"/>
  <c r="Q157" i="6"/>
  <c r="R8" i="6"/>
  <c r="Q8" i="6"/>
  <c r="J8" i="6"/>
  <c r="M8" i="6" s="1"/>
  <c r="Q131" i="6"/>
  <c r="R131" i="6"/>
  <c r="H110" i="6"/>
  <c r="K131" i="6"/>
  <c r="L131" i="6"/>
  <c r="M131" i="6"/>
  <c r="I110" i="6"/>
  <c r="N110" i="6" s="1"/>
  <c r="N131" i="6"/>
  <c r="L170" i="6"/>
  <c r="K170" i="6"/>
  <c r="I169" i="6"/>
  <c r="M170" i="6"/>
  <c r="R224" i="6"/>
  <c r="Q224" i="6"/>
  <c r="M22" i="6"/>
  <c r="L41" i="6"/>
  <c r="K41" i="6"/>
  <c r="M41" i="6"/>
  <c r="L189" i="6"/>
  <c r="K189" i="6"/>
  <c r="M189" i="6"/>
  <c r="N189" i="6"/>
  <c r="P215" i="6"/>
  <c r="L158" i="6"/>
  <c r="K158" i="6"/>
  <c r="M158" i="6"/>
  <c r="I157" i="6"/>
  <c r="N158" i="6"/>
  <c r="M111" i="6"/>
  <c r="L216" i="6"/>
  <c r="I215" i="6"/>
  <c r="M216" i="6"/>
  <c r="K216" i="6"/>
  <c r="N216" i="6"/>
  <c r="L225" i="6"/>
  <c r="K225" i="6"/>
  <c r="I224" i="6"/>
  <c r="M225" i="6"/>
  <c r="P225" i="6"/>
  <c r="N225" i="6"/>
  <c r="J224" i="6"/>
  <c r="O225" i="6"/>
  <c r="O75" i="6"/>
  <c r="N75" i="6"/>
  <c r="J74" i="6"/>
  <c r="P75" i="6"/>
  <c r="M75" i="6"/>
  <c r="R189" i="6"/>
  <c r="Q189" i="6"/>
  <c r="P189" i="6"/>
  <c r="N41" i="6"/>
  <c r="P41" i="6"/>
  <c r="O41" i="6"/>
  <c r="P131" i="6"/>
  <c r="O84" i="6"/>
  <c r="N84" i="6"/>
  <c r="J83" i="6"/>
  <c r="P84" i="6"/>
  <c r="K84" i="6"/>
  <c r="M84" i="6"/>
  <c r="I83" i="6"/>
  <c r="I300" i="6" s="1"/>
  <c r="L84" i="6"/>
  <c r="L215" i="6" l="1"/>
  <c r="M215" i="6"/>
  <c r="K215" i="6"/>
  <c r="N215" i="6"/>
  <c r="M169" i="6"/>
  <c r="L169" i="6"/>
  <c r="K169" i="6"/>
  <c r="R110" i="6"/>
  <c r="Q110" i="6"/>
  <c r="N169" i="6"/>
  <c r="J300" i="6"/>
  <c r="O8" i="6"/>
  <c r="N8" i="6"/>
  <c r="P8" i="6"/>
  <c r="M300" i="6"/>
  <c r="I7" i="6"/>
  <c r="L157" i="6"/>
  <c r="M157" i="6"/>
  <c r="K157" i="6"/>
  <c r="K110" i="6"/>
  <c r="M110" i="6"/>
  <c r="L110" i="6"/>
  <c r="K83" i="6"/>
  <c r="M83" i="6"/>
  <c r="L83" i="6"/>
  <c r="O83" i="6"/>
  <c r="N83" i="6"/>
  <c r="P83" i="6"/>
  <c r="O74" i="6"/>
  <c r="N74" i="6"/>
  <c r="P74" i="6"/>
  <c r="M74" i="6"/>
  <c r="P224" i="6"/>
  <c r="N224" i="6"/>
  <c r="O224" i="6"/>
  <c r="L224" i="6"/>
  <c r="M224" i="6"/>
  <c r="K224" i="6"/>
  <c r="H300" i="6"/>
  <c r="K300" i="6" s="1"/>
  <c r="P157" i="6"/>
  <c r="N157" i="6"/>
  <c r="O157" i="6"/>
  <c r="P110" i="6"/>
  <c r="L300" i="6" l="1"/>
  <c r="O300" i="6"/>
  <c r="N300" i="6"/>
  <c r="P300" i="6"/>
  <c r="J7" i="6"/>
  <c r="M7" i="6" s="1"/>
  <c r="R300" i="6"/>
  <c r="Q300" i="6"/>
  <c r="H7" i="6"/>
  <c r="K7" i="6" s="1"/>
  <c r="R7" i="6" l="1"/>
  <c r="Q7" i="6"/>
  <c r="O7" i="6"/>
  <c r="N7" i="6"/>
  <c r="P7" i="6"/>
  <c r="L7" i="6"/>
  <c r="R141" i="4" l="1"/>
  <c r="P133" i="4"/>
  <c r="T133" i="4" s="1"/>
  <c r="X133" i="4" s="1"/>
  <c r="AD133" i="4" s="1"/>
  <c r="AA132" i="4"/>
  <c r="V132" i="4"/>
  <c r="AI128" i="4"/>
  <c r="AD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H127" i="4"/>
  <c r="AG127" i="4"/>
  <c r="AF127" i="4"/>
  <c r="AE127" i="4"/>
  <c r="AC127" i="4"/>
  <c r="AB127" i="4"/>
  <c r="AH126" i="4"/>
  <c r="AG126" i="4"/>
  <c r="AF126" i="4"/>
  <c r="AE126" i="4"/>
  <c r="AC126" i="4"/>
  <c r="AB126" i="4"/>
  <c r="AH119" i="4"/>
  <c r="AE119" i="4"/>
  <c r="C118" i="4"/>
  <c r="AI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H116" i="4"/>
  <c r="AH115" i="4"/>
  <c r="AI114" i="4"/>
  <c r="AH114" i="4"/>
  <c r="Y114" i="4"/>
  <c r="Q114" i="4"/>
  <c r="M114" i="4"/>
  <c r="AG111" i="4"/>
  <c r="AE111" i="4"/>
  <c r="AB111" i="4"/>
  <c r="AG109" i="4"/>
  <c r="AE109" i="4"/>
  <c r="AB109" i="4"/>
  <c r="AH107" i="4"/>
  <c r="AG107" i="4"/>
  <c r="AF107" i="4"/>
  <c r="AE107" i="4"/>
  <c r="AC107" i="4"/>
  <c r="AB107" i="4"/>
  <c r="AH106" i="4"/>
  <c r="AG106" i="4"/>
  <c r="AF106" i="4"/>
  <c r="AE106" i="4"/>
  <c r="AC106" i="4"/>
  <c r="AB106" i="4"/>
  <c r="AH105" i="4"/>
  <c r="AG105" i="4"/>
  <c r="AF105" i="4"/>
  <c r="AE105" i="4"/>
  <c r="AC105" i="4"/>
  <c r="AB105" i="4"/>
  <c r="AH104" i="4"/>
  <c r="AG104" i="4"/>
  <c r="AF104" i="4"/>
  <c r="AE104" i="4"/>
  <c r="AC104" i="4"/>
  <c r="AB104" i="4"/>
  <c r="AH103" i="4"/>
  <c r="AG103" i="4"/>
  <c r="AF103" i="4"/>
  <c r="AE103" i="4"/>
  <c r="AC103" i="4"/>
  <c r="AB103" i="4"/>
  <c r="AH102" i="4"/>
  <c r="AG102" i="4"/>
  <c r="AF102" i="4"/>
  <c r="AE102" i="4"/>
  <c r="AC102" i="4"/>
  <c r="AB102" i="4"/>
  <c r="AG101" i="4"/>
  <c r="AE101" i="4"/>
  <c r="AB101" i="4"/>
  <c r="AH100" i="4"/>
  <c r="AG100" i="4"/>
  <c r="AF100" i="4"/>
  <c r="AE100" i="4"/>
  <c r="AC100" i="4"/>
  <c r="AB100" i="4"/>
  <c r="AH99" i="4"/>
  <c r="AG99" i="4"/>
  <c r="AE99" i="4"/>
  <c r="AB99" i="4"/>
  <c r="M99" i="4"/>
  <c r="L99" i="4"/>
  <c r="K99" i="4"/>
  <c r="AH98" i="4"/>
  <c r="AG98" i="4"/>
  <c r="AF98" i="4"/>
  <c r="AE98" i="4"/>
  <c r="AC98" i="4"/>
  <c r="AB98" i="4"/>
  <c r="AD97" i="4"/>
  <c r="AG97" i="4" s="1"/>
  <c r="AA97" i="4"/>
  <c r="AB97" i="4" s="1"/>
  <c r="M96" i="4"/>
  <c r="L96" i="4"/>
  <c r="K96" i="4"/>
  <c r="AH93" i="4"/>
  <c r="AG93" i="4"/>
  <c r="AF93" i="4"/>
  <c r="AE93" i="4"/>
  <c r="AC93" i="4"/>
  <c r="AB93" i="4"/>
  <c r="M93" i="4"/>
  <c r="L93" i="4"/>
  <c r="K93" i="4"/>
  <c r="AH92" i="4"/>
  <c r="AG92" i="4"/>
  <c r="AF92" i="4"/>
  <c r="AE92" i="4"/>
  <c r="AC92" i="4"/>
  <c r="AB92" i="4"/>
  <c r="AH91" i="4"/>
  <c r="AG91" i="4"/>
  <c r="AE91" i="4"/>
  <c r="AB91" i="4"/>
  <c r="AH89" i="4"/>
  <c r="AG89" i="4"/>
  <c r="AF89" i="4"/>
  <c r="AE89" i="4"/>
  <c r="AC89" i="4"/>
  <c r="AB89" i="4"/>
  <c r="AH88" i="4"/>
  <c r="AG88" i="4"/>
  <c r="AF88" i="4"/>
  <c r="AE88" i="4"/>
  <c r="AC88" i="4"/>
  <c r="AB88" i="4"/>
  <c r="AI87" i="4"/>
  <c r="AI83" i="4" s="1"/>
  <c r="AI62" i="4" s="1"/>
  <c r="AD87" i="4"/>
  <c r="AG87" i="4" s="1"/>
  <c r="AA87" i="4"/>
  <c r="Z87" i="4"/>
  <c r="Z83" i="4" s="1"/>
  <c r="AB83" i="4" s="1"/>
  <c r="Y87" i="4"/>
  <c r="Y83" i="4" s="1"/>
  <c r="Y62" i="4" s="1"/>
  <c r="X87" i="4"/>
  <c r="AH87" i="4" s="1"/>
  <c r="W87" i="4"/>
  <c r="V87" i="4"/>
  <c r="V83" i="4" s="1"/>
  <c r="U87" i="4"/>
  <c r="U83" i="4" s="1"/>
  <c r="U62" i="4" s="1"/>
  <c r="T87" i="4"/>
  <c r="S87" i="4"/>
  <c r="R87" i="4"/>
  <c r="R83" i="4" s="1"/>
  <c r="Q87" i="4"/>
  <c r="Q83" i="4" s="1"/>
  <c r="Q62" i="4" s="1"/>
  <c r="P87" i="4"/>
  <c r="O87" i="4"/>
  <c r="N87" i="4"/>
  <c r="N83" i="4" s="1"/>
  <c r="M87" i="4"/>
  <c r="M83" i="4" s="1"/>
  <c r="M62" i="4" s="1"/>
  <c r="L87" i="4"/>
  <c r="K87" i="4"/>
  <c r="J87" i="4"/>
  <c r="J83" i="4" s="1"/>
  <c r="I87" i="4"/>
  <c r="H87" i="4"/>
  <c r="G87" i="4"/>
  <c r="F87" i="4"/>
  <c r="F83" i="4" s="1"/>
  <c r="E87" i="4"/>
  <c r="E83" i="4" s="1"/>
  <c r="D87" i="4"/>
  <c r="C87" i="4"/>
  <c r="AH86" i="4"/>
  <c r="AH85" i="4"/>
  <c r="AH84" i="4"/>
  <c r="AD83" i="4"/>
  <c r="AG83" i="4" s="1"/>
  <c r="AA83" i="4"/>
  <c r="X83" i="4"/>
  <c r="W83" i="4"/>
  <c r="T83" i="4"/>
  <c r="S83" i="4"/>
  <c r="P83" i="4"/>
  <c r="O83" i="4"/>
  <c r="L83" i="4"/>
  <c r="K83" i="4"/>
  <c r="I83" i="4"/>
  <c r="H83" i="4"/>
  <c r="G83" i="4"/>
  <c r="D83" i="4"/>
  <c r="C83" i="4"/>
  <c r="AH82" i="4"/>
  <c r="AG82" i="4"/>
  <c r="AF82" i="4"/>
  <c r="AE82" i="4"/>
  <c r="AC82" i="4"/>
  <c r="AB82" i="4"/>
  <c r="AH81" i="4"/>
  <c r="AG81" i="4"/>
  <c r="AF81" i="4"/>
  <c r="AE81" i="4"/>
  <c r="AC81" i="4"/>
  <c r="AB81" i="4"/>
  <c r="AG80" i="4"/>
  <c r="AE80" i="4"/>
  <c r="AB80" i="4"/>
  <c r="AI79" i="4"/>
  <c r="AD79" i="4"/>
  <c r="AA79" i="4"/>
  <c r="Z79" i="4"/>
  <c r="AB79" i="4" s="1"/>
  <c r="Y79" i="4"/>
  <c r="X79" i="4"/>
  <c r="W79" i="4"/>
  <c r="V79" i="4"/>
  <c r="V62" i="4" s="1"/>
  <c r="U79" i="4"/>
  <c r="T79" i="4"/>
  <c r="S79" i="4"/>
  <c r="R79" i="4"/>
  <c r="R62" i="4" s="1"/>
  <c r="Q79" i="4"/>
  <c r="P79" i="4"/>
  <c r="O79" i="4"/>
  <c r="N79" i="4"/>
  <c r="N62" i="4" s="1"/>
  <c r="M79" i="4"/>
  <c r="L79" i="4"/>
  <c r="K79" i="4"/>
  <c r="J79" i="4"/>
  <c r="J62" i="4" s="1"/>
  <c r="I79" i="4"/>
  <c r="H79" i="4"/>
  <c r="G79" i="4"/>
  <c r="F79" i="4"/>
  <c r="F62" i="4" s="1"/>
  <c r="E79" i="4"/>
  <c r="D79" i="4"/>
  <c r="C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I67" i="4"/>
  <c r="I62" i="4" s="1"/>
  <c r="H67" i="4"/>
  <c r="G67" i="4"/>
  <c r="F67" i="4"/>
  <c r="E67" i="4"/>
  <c r="D67" i="4"/>
  <c r="C67" i="4"/>
  <c r="AH66" i="4"/>
  <c r="AG66" i="4"/>
  <c r="AF66" i="4"/>
  <c r="AE66" i="4"/>
  <c r="AC66" i="4"/>
  <c r="AB66" i="4"/>
  <c r="AH65" i="4"/>
  <c r="AG65" i="4"/>
  <c r="AF65" i="4"/>
  <c r="AE65" i="4"/>
  <c r="AC65" i="4"/>
  <c r="AB65" i="4"/>
  <c r="AI64" i="4"/>
  <c r="AD64" i="4"/>
  <c r="AG64" i="4" s="1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AH63" i="4"/>
  <c r="AD62" i="4"/>
  <c r="AD123" i="4" s="1"/>
  <c r="AA62" i="4"/>
  <c r="AA123" i="4" s="1"/>
  <c r="X62" i="4"/>
  <c r="X123" i="4" s="1"/>
  <c r="W62" i="4"/>
  <c r="W123" i="4" s="1"/>
  <c r="T62" i="4"/>
  <c r="T123" i="4" s="1"/>
  <c r="S62" i="4"/>
  <c r="S123" i="4" s="1"/>
  <c r="P62" i="4"/>
  <c r="P123" i="4" s="1"/>
  <c r="O62" i="4"/>
  <c r="O123" i="4" s="1"/>
  <c r="L62" i="4"/>
  <c r="L123" i="4" s="1"/>
  <c r="K62" i="4"/>
  <c r="K123" i="4" s="1"/>
  <c r="H62" i="4"/>
  <c r="H123" i="4" s="1"/>
  <c r="G62" i="4"/>
  <c r="G123" i="4" s="1"/>
  <c r="D62" i="4"/>
  <c r="D123" i="4" s="1"/>
  <c r="C62" i="4"/>
  <c r="C123" i="4" s="1"/>
  <c r="AA60" i="4"/>
  <c r="W60" i="4"/>
  <c r="S60" i="4"/>
  <c r="O60" i="4"/>
  <c r="K60" i="4"/>
  <c r="G60" i="4"/>
  <c r="C60" i="4"/>
  <c r="AH59" i="4"/>
  <c r="AI58" i="4"/>
  <c r="AD58" i="4"/>
  <c r="Y58" i="4"/>
  <c r="X58" i="4"/>
  <c r="AH57" i="4"/>
  <c r="AH56" i="4"/>
  <c r="AH55" i="4"/>
  <c r="AH54" i="4"/>
  <c r="AG53" i="4"/>
  <c r="AE53" i="4"/>
  <c r="AB53" i="4"/>
  <c r="AH52" i="4"/>
  <c r="AH51" i="4"/>
  <c r="AB51" i="4"/>
  <c r="AI50" i="4"/>
  <c r="AD50" i="4"/>
  <c r="AG50" i="4" s="1"/>
  <c r="AA50" i="4"/>
  <c r="AB50" i="4" s="1"/>
  <c r="Q50" i="4"/>
  <c r="M50" i="4"/>
  <c r="L50" i="4"/>
  <c r="K50" i="4"/>
  <c r="J50" i="4"/>
  <c r="I50" i="4"/>
  <c r="H50" i="4"/>
  <c r="G50" i="4"/>
  <c r="F50" i="4"/>
  <c r="E50" i="4"/>
  <c r="D50" i="4"/>
  <c r="C50" i="4"/>
  <c r="AH49" i="4"/>
  <c r="AH48" i="4"/>
  <c r="AH47" i="4"/>
  <c r="AH46" i="4"/>
  <c r="AG46" i="4"/>
  <c r="AE46" i="4"/>
  <c r="AB46" i="4"/>
  <c r="AI45" i="4"/>
  <c r="AH45" i="4"/>
  <c r="AG45" i="4"/>
  <c r="AE45" i="4"/>
  <c r="AB45" i="4"/>
  <c r="Y45" i="4"/>
  <c r="U45" i="4"/>
  <c r="AD44" i="4"/>
  <c r="AA44" i="4"/>
  <c r="Z44" i="4"/>
  <c r="Y44" i="4"/>
  <c r="X44" i="4"/>
  <c r="W44" i="4"/>
  <c r="V44" i="4"/>
  <c r="U44" i="4"/>
  <c r="T44" i="4"/>
  <c r="S44" i="4"/>
  <c r="R44" i="4"/>
  <c r="Q44" i="4"/>
  <c r="O44" i="4"/>
  <c r="N44" i="4"/>
  <c r="M44" i="4"/>
  <c r="L44" i="4"/>
  <c r="L31" i="4" s="1"/>
  <c r="K44" i="4"/>
  <c r="J44" i="4"/>
  <c r="I44" i="4"/>
  <c r="H44" i="4"/>
  <c r="H31" i="4" s="1"/>
  <c r="G44" i="4"/>
  <c r="F44" i="4"/>
  <c r="E44" i="4"/>
  <c r="D44" i="4"/>
  <c r="D31" i="4" s="1"/>
  <c r="C44" i="4"/>
  <c r="AH43" i="4"/>
  <c r="AH42" i="4"/>
  <c r="AE42" i="4"/>
  <c r="AH41" i="4"/>
  <c r="AG41" i="4"/>
  <c r="AF41" i="4"/>
  <c r="AE41" i="4"/>
  <c r="AB41" i="4"/>
  <c r="AI40" i="4"/>
  <c r="AD40" i="4"/>
  <c r="AA40" i="4"/>
  <c r="AB40" i="4" s="1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H39" i="4"/>
  <c r="AG39" i="4"/>
  <c r="AF39" i="4"/>
  <c r="AE39" i="4"/>
  <c r="AC39" i="4"/>
  <c r="AB39" i="4"/>
  <c r="AH38" i="4"/>
  <c r="AG38" i="4"/>
  <c r="AF38" i="4"/>
  <c r="AE38" i="4"/>
  <c r="AC38" i="4"/>
  <c r="AB38" i="4"/>
  <c r="AH37" i="4"/>
  <c r="AG37" i="4"/>
  <c r="AF37" i="4"/>
  <c r="AE37" i="4"/>
  <c r="AC37" i="4"/>
  <c r="AB37" i="4"/>
  <c r="AH35" i="4"/>
  <c r="AJ34" i="4"/>
  <c r="AH34" i="4"/>
  <c r="AI33" i="4"/>
  <c r="AD33" i="4"/>
  <c r="AA33" i="4"/>
  <c r="AA31" i="4" s="1"/>
  <c r="AC31" i="4" s="1"/>
  <c r="Z33" i="4"/>
  <c r="Y33" i="4"/>
  <c r="X33" i="4"/>
  <c r="W33" i="4"/>
  <c r="W31" i="4" s="1"/>
  <c r="V33" i="4"/>
  <c r="U33" i="4"/>
  <c r="T33" i="4"/>
  <c r="S33" i="4"/>
  <c r="S31" i="4" s="1"/>
  <c r="R33" i="4"/>
  <c r="Q33" i="4"/>
  <c r="P33" i="4"/>
  <c r="O33" i="4"/>
  <c r="O31" i="4" s="1"/>
  <c r="N33" i="4"/>
  <c r="M33" i="4"/>
  <c r="L33" i="4"/>
  <c r="K33" i="4"/>
  <c r="K31" i="4" s="1"/>
  <c r="J33" i="4"/>
  <c r="I33" i="4"/>
  <c r="H33" i="4"/>
  <c r="G33" i="4"/>
  <c r="G31" i="4" s="1"/>
  <c r="F33" i="4"/>
  <c r="E33" i="4"/>
  <c r="D33" i="4"/>
  <c r="C33" i="4"/>
  <c r="C31" i="4" s="1"/>
  <c r="AD31" i="4"/>
  <c r="Z31" i="4"/>
  <c r="Y31" i="4"/>
  <c r="X31" i="4"/>
  <c r="V31" i="4"/>
  <c r="U31" i="4"/>
  <c r="T31" i="4"/>
  <c r="R31" i="4"/>
  <c r="Q31" i="4"/>
  <c r="P31" i="4"/>
  <c r="N31" i="4"/>
  <c r="M31" i="4"/>
  <c r="J31" i="4"/>
  <c r="I31" i="4"/>
  <c r="F31" i="4"/>
  <c r="E31" i="4"/>
  <c r="AH30" i="4"/>
  <c r="AH29" i="4"/>
  <c r="AG29" i="4"/>
  <c r="AF29" i="4"/>
  <c r="AE29" i="4"/>
  <c r="AC29" i="4"/>
  <c r="AB29" i="4"/>
  <c r="AI28" i="4"/>
  <c r="AD28" i="4"/>
  <c r="AA28" i="4"/>
  <c r="AC28" i="4" s="1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I27" i="4"/>
  <c r="AH27" i="4"/>
  <c r="AI26" i="4"/>
  <c r="AH26" i="4"/>
  <c r="AG26" i="4"/>
  <c r="AF26" i="4"/>
  <c r="AE26" i="4"/>
  <c r="AC26" i="4"/>
  <c r="AB26" i="4"/>
  <c r="P26" i="4"/>
  <c r="I26" i="4"/>
  <c r="F26" i="4"/>
  <c r="AI25" i="4"/>
  <c r="AI24" i="4" s="1"/>
  <c r="AH25" i="4"/>
  <c r="AG25" i="4"/>
  <c r="AF25" i="4"/>
  <c r="AE25" i="4"/>
  <c r="AC25" i="4"/>
  <c r="AB25" i="4"/>
  <c r="I25" i="4"/>
  <c r="I24" i="4" s="1"/>
  <c r="I20" i="4" s="1"/>
  <c r="I6" i="4" s="1"/>
  <c r="F25" i="4"/>
  <c r="AD24" i="4"/>
  <c r="AA24" i="4"/>
  <c r="Z24" i="4"/>
  <c r="AB24" i="4" s="1"/>
  <c r="Y24" i="4"/>
  <c r="X24" i="4"/>
  <c r="W24" i="4"/>
  <c r="V24" i="4"/>
  <c r="V20" i="4" s="1"/>
  <c r="V6" i="4" s="1"/>
  <c r="U24" i="4"/>
  <c r="T24" i="4"/>
  <c r="S24" i="4"/>
  <c r="R24" i="4"/>
  <c r="R20" i="4" s="1"/>
  <c r="R6" i="4" s="1"/>
  <c r="Q24" i="4"/>
  <c r="P24" i="4"/>
  <c r="O24" i="4"/>
  <c r="N24" i="4"/>
  <c r="N20" i="4" s="1"/>
  <c r="M24" i="4"/>
  <c r="L24" i="4"/>
  <c r="K24" i="4"/>
  <c r="J24" i="4"/>
  <c r="J20" i="4" s="1"/>
  <c r="H24" i="4"/>
  <c r="G24" i="4"/>
  <c r="F24" i="4"/>
  <c r="F20" i="4" s="1"/>
  <c r="E24" i="4"/>
  <c r="D24" i="4"/>
  <c r="C24" i="4"/>
  <c r="AI23" i="4"/>
  <c r="AI44" i="4" s="1"/>
  <c r="AI31" i="4" s="1"/>
  <c r="AH23" i="4"/>
  <c r="AI22" i="4"/>
  <c r="AH22" i="4"/>
  <c r="AG22" i="4"/>
  <c r="AF22" i="4"/>
  <c r="AE22" i="4"/>
  <c r="AC22" i="4"/>
  <c r="AB22" i="4"/>
  <c r="P22" i="4"/>
  <c r="I22" i="4"/>
  <c r="F22" i="4"/>
  <c r="AI21" i="4"/>
  <c r="AD21" i="4"/>
  <c r="AA21" i="4"/>
  <c r="Z21" i="4"/>
  <c r="Y21" i="4"/>
  <c r="Y20" i="4" s="1"/>
  <c r="X21" i="4"/>
  <c r="W21" i="4"/>
  <c r="V21" i="4"/>
  <c r="U21" i="4"/>
  <c r="U20" i="4" s="1"/>
  <c r="T21" i="4"/>
  <c r="S21" i="4"/>
  <c r="R21" i="4"/>
  <c r="Q21" i="4"/>
  <c r="Q20" i="4" s="1"/>
  <c r="P21" i="4"/>
  <c r="O21" i="4"/>
  <c r="N21" i="4"/>
  <c r="M21" i="4"/>
  <c r="M20" i="4" s="1"/>
  <c r="M6" i="4" s="1"/>
  <c r="L21" i="4"/>
  <c r="K21" i="4"/>
  <c r="J21" i="4"/>
  <c r="I21" i="4"/>
  <c r="H21" i="4"/>
  <c r="G21" i="4"/>
  <c r="F21" i="4"/>
  <c r="E21" i="4"/>
  <c r="E20" i="4" s="1"/>
  <c r="E6" i="4" s="1"/>
  <c r="D21" i="4"/>
  <c r="C21" i="4"/>
  <c r="AD20" i="4"/>
  <c r="AA20" i="4"/>
  <c r="X20" i="4"/>
  <c r="W20" i="4"/>
  <c r="T20" i="4"/>
  <c r="S20" i="4"/>
  <c r="P20" i="4"/>
  <c r="O20" i="4"/>
  <c r="O6" i="4" s="1"/>
  <c r="O141" i="4" s="1"/>
  <c r="L20" i="4"/>
  <c r="K20" i="4"/>
  <c r="K6" i="4" s="1"/>
  <c r="H20" i="4"/>
  <c r="G20" i="4"/>
  <c r="G6" i="4" s="1"/>
  <c r="D20" i="4"/>
  <c r="C20" i="4"/>
  <c r="C6" i="4" s="1"/>
  <c r="AH19" i="4"/>
  <c r="AG19" i="4"/>
  <c r="AE19" i="4"/>
  <c r="AB19" i="4"/>
  <c r="AH18" i="4"/>
  <c r="AE18" i="4"/>
  <c r="AB18" i="4"/>
  <c r="AH17" i="4"/>
  <c r="AG17" i="4"/>
  <c r="AF17" i="4"/>
  <c r="AE17" i="4"/>
  <c r="AC17" i="4"/>
  <c r="AB17" i="4"/>
  <c r="AH16" i="4"/>
  <c r="AG16" i="4"/>
  <c r="AF16" i="4"/>
  <c r="AE16" i="4"/>
  <c r="AC16" i="4"/>
  <c r="AB16" i="4"/>
  <c r="AH15" i="4"/>
  <c r="AG15" i="4"/>
  <c r="AF15" i="4"/>
  <c r="AE15" i="4"/>
  <c r="AC15" i="4"/>
  <c r="AB15" i="4"/>
  <c r="AI14" i="4"/>
  <c r="AD14" i="4"/>
  <c r="AA14" i="4"/>
  <c r="Z14" i="4"/>
  <c r="Z141" i="4" s="1"/>
  <c r="Y14" i="4"/>
  <c r="X14" i="4"/>
  <c r="X141" i="4" s="1"/>
  <c r="X148" i="4" s="1"/>
  <c r="W14" i="4"/>
  <c r="W141" i="4" s="1"/>
  <c r="V14" i="4"/>
  <c r="V141" i="4" s="1"/>
  <c r="AH13" i="4"/>
  <c r="AH12" i="4"/>
  <c r="AG12" i="4"/>
  <c r="AE12" i="4"/>
  <c r="AB12" i="4"/>
  <c r="Q12" i="4"/>
  <c r="P12" i="4"/>
  <c r="AI11" i="4"/>
  <c r="AI9" i="4" s="1"/>
  <c r="AD11" i="4"/>
  <c r="AB11" i="4"/>
  <c r="X11" i="4"/>
  <c r="AH10" i="4"/>
  <c r="AG10" i="4"/>
  <c r="AF10" i="4"/>
  <c r="AE10" i="4"/>
  <c r="AC10" i="4"/>
  <c r="AB10" i="4"/>
  <c r="Q10" i="4"/>
  <c r="Q9" i="4" s="1"/>
  <c r="P10" i="4"/>
  <c r="P9" i="4" s="1"/>
  <c r="F10" i="4"/>
  <c r="AD9" i="4"/>
  <c r="AA9" i="4"/>
  <c r="AC9" i="4" s="1"/>
  <c r="Z9" i="4"/>
  <c r="Y9" i="4"/>
  <c r="X9" i="4"/>
  <c r="W9" i="4"/>
  <c r="W7" i="4" s="1"/>
  <c r="V9" i="4"/>
  <c r="U9" i="4"/>
  <c r="T9" i="4"/>
  <c r="S9" i="4"/>
  <c r="S7" i="4" s="1"/>
  <c r="R9" i="4"/>
  <c r="O9" i="4"/>
  <c r="N9" i="4"/>
  <c r="M9" i="4"/>
  <c r="M7" i="4" s="1"/>
  <c r="L9" i="4"/>
  <c r="K9" i="4"/>
  <c r="J9" i="4"/>
  <c r="I9" i="4"/>
  <c r="H9" i="4"/>
  <c r="G9" i="4"/>
  <c r="F9" i="4"/>
  <c r="E9" i="4"/>
  <c r="D9" i="4"/>
  <c r="C9" i="4"/>
  <c r="AD7" i="4"/>
  <c r="X7" i="4"/>
  <c r="T7" i="4"/>
  <c r="O7" i="4"/>
  <c r="L7" i="4"/>
  <c r="K7" i="4"/>
  <c r="H7" i="4"/>
  <c r="G7" i="4"/>
  <c r="D7" i="4"/>
  <c r="C7" i="4"/>
  <c r="AD6" i="4"/>
  <c r="X6" i="4"/>
  <c r="T6" i="4"/>
  <c r="T141" i="4" s="1"/>
  <c r="L6" i="4"/>
  <c r="H6" i="4"/>
  <c r="D6" i="4"/>
  <c r="M123" i="4" l="1"/>
  <c r="M60" i="4"/>
  <c r="U123" i="4"/>
  <c r="U60" i="4"/>
  <c r="U120" i="4" s="1"/>
  <c r="V7" i="4"/>
  <c r="U7" i="4"/>
  <c r="U6" i="4"/>
  <c r="Y7" i="4"/>
  <c r="Y6" i="4"/>
  <c r="E62" i="4"/>
  <c r="I123" i="4"/>
  <c r="I60" i="4"/>
  <c r="I120" i="4" s="1"/>
  <c r="I121" i="4" s="1"/>
  <c r="I122" i="4" s="1"/>
  <c r="F123" i="4"/>
  <c r="F60" i="4"/>
  <c r="J123" i="4"/>
  <c r="J60" i="4"/>
  <c r="J120" i="4" s="1"/>
  <c r="J121" i="4" s="1"/>
  <c r="N123" i="4"/>
  <c r="N60" i="4"/>
  <c r="R123" i="4"/>
  <c r="R60" i="4"/>
  <c r="R120" i="4" s="1"/>
  <c r="R121" i="4" s="1"/>
  <c r="V123" i="4"/>
  <c r="V60" i="4"/>
  <c r="Q123" i="4"/>
  <c r="Q60" i="4"/>
  <c r="Q120" i="4" s="1"/>
  <c r="Q121" i="4" s="1"/>
  <c r="Q122" i="4" s="1"/>
  <c r="Y123" i="4"/>
  <c r="Y60" i="4"/>
  <c r="AI123" i="4"/>
  <c r="AI60" i="4"/>
  <c r="R7" i="4"/>
  <c r="P6" i="4"/>
  <c r="P141" i="4" s="1"/>
  <c r="P7" i="4"/>
  <c r="E7" i="4"/>
  <c r="I7" i="4"/>
  <c r="F7" i="4"/>
  <c r="J7" i="4"/>
  <c r="N7" i="4"/>
  <c r="AG9" i="4"/>
  <c r="AH11" i="4"/>
  <c r="AG20" i="4"/>
  <c r="AC24" i="4"/>
  <c r="AG28" i="4"/>
  <c r="AH33" i="4"/>
  <c r="AH40" i="4"/>
  <c r="AH58" i="4"/>
  <c r="D60" i="4"/>
  <c r="H60" i="4"/>
  <c r="L60" i="4"/>
  <c r="P60" i="4"/>
  <c r="T60" i="4"/>
  <c r="X60" i="4"/>
  <c r="AD60" i="4"/>
  <c r="AE60" i="4" s="1"/>
  <c r="AC79" i="4"/>
  <c r="AE87" i="4"/>
  <c r="AB128" i="4"/>
  <c r="F6" i="4"/>
  <c r="F120" i="4" s="1"/>
  <c r="F61" i="4" s="1"/>
  <c r="J6" i="4"/>
  <c r="N6" i="4"/>
  <c r="S6" i="4"/>
  <c r="S141" i="4" s="1"/>
  <c r="W6" i="4"/>
  <c r="W120" i="4" s="1"/>
  <c r="AA6" i="4"/>
  <c r="AE11" i="4"/>
  <c r="AB21" i="4"/>
  <c r="AG24" i="4"/>
  <c r="AB44" i="4"/>
  <c r="Z62" i="4"/>
  <c r="AH79" i="4"/>
  <c r="AH6" i="4"/>
  <c r="AA7" i="4"/>
  <c r="AB9" i="4"/>
  <c r="Z20" i="4"/>
  <c r="AF20" i="4" s="1"/>
  <c r="AH21" i="4"/>
  <c r="AI20" i="4"/>
  <c r="AB28" i="4"/>
  <c r="AH44" i="4"/>
  <c r="AC83" i="4"/>
  <c r="Q7" i="4"/>
  <c r="Q6" i="4"/>
  <c r="AI7" i="4"/>
  <c r="AI6" i="4"/>
  <c r="AE6" i="4"/>
  <c r="AG6" i="4"/>
  <c r="AH7" i="4"/>
  <c r="AF9" i="4"/>
  <c r="AH9" i="4"/>
  <c r="AB14" i="4"/>
  <c r="AD141" i="4"/>
  <c r="AD148" i="4" s="1"/>
  <c r="AF14" i="4"/>
  <c r="AH14" i="4"/>
  <c r="AH20" i="4"/>
  <c r="AC21" i="4"/>
  <c r="AE21" i="4"/>
  <c r="AG21" i="4"/>
  <c r="AF24" i="4"/>
  <c r="AH24" i="4"/>
  <c r="AF28" i="4"/>
  <c r="AH28" i="4"/>
  <c r="AB31" i="4"/>
  <c r="AF31" i="4"/>
  <c r="AH31" i="4"/>
  <c r="AB33" i="4"/>
  <c r="AG33" i="4"/>
  <c r="AE33" i="4"/>
  <c r="AC33" i="4"/>
  <c r="AE7" i="4"/>
  <c r="AG7" i="4"/>
  <c r="AE9" i="4"/>
  <c r="AA141" i="4"/>
  <c r="AC14" i="4"/>
  <c r="AE14" i="4"/>
  <c r="AG14" i="4"/>
  <c r="AE20" i="4"/>
  <c r="AF21" i="4"/>
  <c r="AE24" i="4"/>
  <c r="AE28" i="4"/>
  <c r="AE31" i="4"/>
  <c r="AG31" i="4"/>
  <c r="D120" i="4"/>
  <c r="D121" i="4" s="1"/>
  <c r="D122" i="4" s="1"/>
  <c r="H120" i="4"/>
  <c r="H121" i="4" s="1"/>
  <c r="H122" i="4" s="1"/>
  <c r="L120" i="4"/>
  <c r="L121" i="4" s="1"/>
  <c r="L122" i="4" s="1"/>
  <c r="N120" i="4"/>
  <c r="N121" i="4" s="1"/>
  <c r="N122" i="4" s="1"/>
  <c r="P120" i="4"/>
  <c r="P121" i="4" s="1"/>
  <c r="P122" i="4" s="1"/>
  <c r="T120" i="4"/>
  <c r="T121" i="4" s="1"/>
  <c r="T122" i="4" s="1"/>
  <c r="V120" i="4"/>
  <c r="V121" i="4" s="1"/>
  <c r="V122" i="4" s="1"/>
  <c r="X120" i="4"/>
  <c r="AD120" i="4"/>
  <c r="AG40" i="4"/>
  <c r="AG44" i="4"/>
  <c r="AE50" i="4"/>
  <c r="AE58" i="4"/>
  <c r="D61" i="4"/>
  <c r="H61" i="4"/>
  <c r="L61" i="4"/>
  <c r="N61" i="4"/>
  <c r="P61" i="4"/>
  <c r="T61" i="4"/>
  <c r="V61" i="4"/>
  <c r="X61" i="4"/>
  <c r="AD61" i="4"/>
  <c r="AC62" i="4"/>
  <c r="AE62" i="4"/>
  <c r="AG62" i="4"/>
  <c r="AC64" i="4"/>
  <c r="AE64" i="4"/>
  <c r="AE79" i="4"/>
  <c r="AG79" i="4"/>
  <c r="AE83" i="4"/>
  <c r="AH83" i="4"/>
  <c r="AB87" i="4"/>
  <c r="AE97" i="4"/>
  <c r="C120" i="4"/>
  <c r="C121" i="4" s="1"/>
  <c r="C122" i="4" s="1"/>
  <c r="G120" i="4"/>
  <c r="G121" i="4" s="1"/>
  <c r="G122" i="4" s="1"/>
  <c r="K120" i="4"/>
  <c r="K121" i="4" s="1"/>
  <c r="K122" i="4" s="1"/>
  <c r="M120" i="4"/>
  <c r="M121" i="4" s="1"/>
  <c r="M122" i="4" s="1"/>
  <c r="O120" i="4"/>
  <c r="S120" i="4"/>
  <c r="Y120" i="4"/>
  <c r="AA120" i="4"/>
  <c r="AI120" i="4"/>
  <c r="D129" i="4"/>
  <c r="H129" i="4"/>
  <c r="J129" i="4"/>
  <c r="L129" i="4"/>
  <c r="N129" i="4"/>
  <c r="P129" i="4"/>
  <c r="R129" i="4"/>
  <c r="T129" i="4"/>
  <c r="V129" i="4"/>
  <c r="X129" i="4"/>
  <c r="AD129" i="4"/>
  <c r="AF33" i="4"/>
  <c r="AE40" i="4"/>
  <c r="AE44" i="4"/>
  <c r="AH60" i="4"/>
  <c r="AB62" i="4"/>
  <c r="AH123" i="4"/>
  <c r="AF62" i="4"/>
  <c r="AH62" i="4"/>
  <c r="H124" i="4"/>
  <c r="L124" i="4"/>
  <c r="N124" i="4"/>
  <c r="P124" i="4"/>
  <c r="T124" i="4"/>
  <c r="V124" i="4"/>
  <c r="AB64" i="4"/>
  <c r="AF64" i="4"/>
  <c r="AH64" i="4"/>
  <c r="AF79" i="4"/>
  <c r="AC87" i="4"/>
  <c r="C129" i="4"/>
  <c r="E129" i="4"/>
  <c r="G129" i="4"/>
  <c r="I129" i="4"/>
  <c r="K129" i="4"/>
  <c r="O129" i="4"/>
  <c r="S129" i="4"/>
  <c r="AC128" i="4"/>
  <c r="AE128" i="4"/>
  <c r="AH128" i="4"/>
  <c r="AA129" i="4"/>
  <c r="AG128" i="4"/>
  <c r="J122" i="4" l="1"/>
  <c r="J124" i="4"/>
  <c r="R122" i="4"/>
  <c r="R124" i="4"/>
  <c r="AC20" i="4"/>
  <c r="W129" i="4"/>
  <c r="F129" i="4"/>
  <c r="R61" i="4"/>
  <c r="J61" i="4"/>
  <c r="AG60" i="4"/>
  <c r="Z7" i="4"/>
  <c r="Z123" i="4"/>
  <c r="Z60" i="4"/>
  <c r="E123" i="4"/>
  <c r="E60" i="4"/>
  <c r="E120" i="4" s="1"/>
  <c r="E121" i="4" s="1"/>
  <c r="E122" i="4" s="1"/>
  <c r="AB20" i="4"/>
  <c r="Z6" i="4"/>
  <c r="D124" i="4"/>
  <c r="AA125" i="4"/>
  <c r="AA121" i="4"/>
  <c r="AA8" i="4"/>
  <c r="W125" i="4"/>
  <c r="W121" i="4"/>
  <c r="W8" i="4"/>
  <c r="S121" i="4"/>
  <c r="S8" i="4"/>
  <c r="O121" i="4"/>
  <c r="O8" i="4"/>
  <c r="K124" i="4"/>
  <c r="G124" i="4"/>
  <c r="C124" i="4"/>
  <c r="AH120" i="4"/>
  <c r="AD132" i="4"/>
  <c r="AD125" i="4"/>
  <c r="AH125" i="4" s="1"/>
  <c r="AD121" i="4"/>
  <c r="AG120" i="4"/>
  <c r="AE120" i="4"/>
  <c r="AE125" i="4" s="1"/>
  <c r="X132" i="4"/>
  <c r="Z132" i="4" s="1"/>
  <c r="X121" i="4"/>
  <c r="AA61" i="4"/>
  <c r="W61" i="4"/>
  <c r="S61" i="4"/>
  <c r="O61" i="4"/>
  <c r="K61" i="4"/>
  <c r="G61" i="4"/>
  <c r="C61" i="4"/>
  <c r="AD32" i="4"/>
  <c r="X32" i="4"/>
  <c r="T32" i="4"/>
  <c r="P32" i="4"/>
  <c r="L32" i="4"/>
  <c r="H32" i="4"/>
  <c r="D32" i="4"/>
  <c r="AI8" i="4"/>
  <c r="L8" i="4"/>
  <c r="D8" i="4"/>
  <c r="S32" i="4"/>
  <c r="O32" i="4"/>
  <c r="K32" i="4"/>
  <c r="G32" i="4"/>
  <c r="C32" i="4"/>
  <c r="Q8" i="4"/>
  <c r="V8" i="4"/>
  <c r="R8" i="4"/>
  <c r="K8" i="4"/>
  <c r="G8" i="4"/>
  <c r="C8" i="4"/>
  <c r="J8" i="4"/>
  <c r="AI125" i="4"/>
  <c r="AI121" i="4"/>
  <c r="AI122" i="4" s="1"/>
  <c r="Y121" i="4"/>
  <c r="Y122" i="4" s="1"/>
  <c r="Y125" i="4"/>
  <c r="Y8" i="4"/>
  <c r="U121" i="4"/>
  <c r="U122" i="4" s="1"/>
  <c r="U8" i="4"/>
  <c r="M124" i="4"/>
  <c r="I124" i="4"/>
  <c r="E124" i="4"/>
  <c r="F132" i="4"/>
  <c r="F121" i="4"/>
  <c r="AI61" i="4"/>
  <c r="Y61" i="4"/>
  <c r="U61" i="4"/>
  <c r="Q61" i="4"/>
  <c r="M61" i="4"/>
  <c r="I61" i="4"/>
  <c r="E61" i="4"/>
  <c r="AA32" i="4"/>
  <c r="V32" i="4"/>
  <c r="R32" i="4"/>
  <c r="N32" i="4"/>
  <c r="J32" i="4"/>
  <c r="F32" i="4"/>
  <c r="P8" i="4"/>
  <c r="H8" i="4"/>
  <c r="W32" i="4"/>
  <c r="Q32" i="4"/>
  <c r="M32" i="4"/>
  <c r="I32" i="4"/>
  <c r="E32" i="4"/>
  <c r="AD8" i="4"/>
  <c r="X8" i="4"/>
  <c r="T8" i="4"/>
  <c r="M8" i="4"/>
  <c r="I8" i="4"/>
  <c r="E8" i="4"/>
  <c r="N8" i="4"/>
  <c r="F8" i="4"/>
  <c r="Z129" i="4" l="1"/>
  <c r="AC6" i="4"/>
  <c r="AF6" i="4"/>
  <c r="AC60" i="4"/>
  <c r="AB60" i="4"/>
  <c r="Z120" i="4"/>
  <c r="Z61" i="4"/>
  <c r="AF60" i="4"/>
  <c r="AB7" i="4"/>
  <c r="AF7" i="4"/>
  <c r="Z8" i="4"/>
  <c r="AB6" i="4"/>
  <c r="AC7" i="4"/>
  <c r="F122" i="4"/>
  <c r="F124" i="4"/>
  <c r="X122" i="4"/>
  <c r="X124" i="4"/>
  <c r="AH121" i="4"/>
  <c r="AD122" i="4"/>
  <c r="AD124" i="4"/>
  <c r="AH124" i="4" s="1"/>
  <c r="AA122" i="4"/>
  <c r="AA124" i="4"/>
  <c r="F134" i="4"/>
  <c r="I132" i="4"/>
  <c r="O122" i="4"/>
  <c r="O124" i="4"/>
  <c r="S122" i="4"/>
  <c r="S124" i="4"/>
  <c r="W122" i="4"/>
  <c r="W124" i="4"/>
  <c r="Z121" i="4" l="1"/>
  <c r="AC120" i="4"/>
  <c r="AB120" i="4"/>
  <c r="AF120" i="4"/>
  <c r="Z32" i="4"/>
  <c r="AH122" i="4"/>
  <c r="I134" i="4"/>
  <c r="L132" i="4"/>
  <c r="Z122" i="4" l="1"/>
  <c r="Z124" i="4"/>
  <c r="O132" i="4"/>
  <c r="P132" i="4"/>
  <c r="S132" i="4" l="1"/>
  <c r="T132" i="4"/>
  <c r="W132" i="4" s="1"/>
</calcChain>
</file>

<file path=xl/comments1.xml><?xml version="1.0" encoding="utf-8"?>
<comments xmlns="http://schemas.openxmlformats.org/spreadsheetml/2006/main">
  <authors>
    <author>Автор</author>
  </authors>
  <commentLis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  <comment ref="K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  <comment ref="S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  <comment ref="W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  <comment ref="AA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федер. бюджет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194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5000дороги п.Октябрьское
</t>
        </r>
      </text>
    </comment>
    <comment ref="H197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5000дороги п.Октябрьское
</t>
        </r>
      </text>
    </comment>
    <comment ref="H20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5000дороги п.Октябрьское
</t>
        </r>
      </text>
    </comment>
    <comment ref="H203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5000дороги п.Октябрьское
</t>
        </r>
      </text>
    </comment>
    <comment ref="H207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<sst xmlns="http://schemas.openxmlformats.org/spreadsheetml/2006/main" count="1070" uniqueCount="601">
  <si>
    <t>Приложение № 1</t>
  </si>
  <si>
    <t>Анализ исполнения доходов бюджета сельского поселения Карымкары  за 2018 год</t>
  </si>
  <si>
    <t>Код бюджетной классификации</t>
  </si>
  <si>
    <t>Наименование дохода</t>
  </si>
  <si>
    <t>исполнение за 2011 год</t>
  </si>
  <si>
    <t>РСД от  26.12.2011 № 184</t>
  </si>
  <si>
    <t>РСД от  28.12.2012   №223</t>
  </si>
  <si>
    <t>исполнение за 2012 год</t>
  </si>
  <si>
    <t>РСД от  28.12.2012 № 224</t>
  </si>
  <si>
    <t>РСД от  27.12.2013   № 21</t>
  </si>
  <si>
    <t>исполнение за 2013 год</t>
  </si>
  <si>
    <t>РСД от  27.12.2013 № 20</t>
  </si>
  <si>
    <t>РСД от  26.12.2014   № 58</t>
  </si>
  <si>
    <t>исполнение за 2014 год</t>
  </si>
  <si>
    <t>начислено  за 2014 год</t>
  </si>
  <si>
    <t>РСД от  26.12.2014 № 57</t>
  </si>
  <si>
    <t>РСД от  31.12.2015   № 116</t>
  </si>
  <si>
    <t>исполнение за 2015 год</t>
  </si>
  <si>
    <t>начислено  за 2015 год</t>
  </si>
  <si>
    <t>РСД от  25.12.2015 № 114</t>
  </si>
  <si>
    <t>РСД от  25.12.2016   № 168</t>
  </si>
  <si>
    <t>исполнение за 2016 год</t>
  </si>
  <si>
    <t>начислено  за 2016 год</t>
  </si>
  <si>
    <t>РСД от  25.12.2016   № 167</t>
  </si>
  <si>
    <t>РСД от  25.12.2017   № 227</t>
  </si>
  <si>
    <t>исполнение за 2017 год</t>
  </si>
  <si>
    <t>начислено  за 2017 год</t>
  </si>
  <si>
    <t>РСД от  22.12.2017   № 226</t>
  </si>
  <si>
    <t>РСД от  21.12.2018   № 21</t>
  </si>
  <si>
    <t>отклонение, тыс. руб.</t>
  </si>
  <si>
    <t>отклонение, %</t>
  </si>
  <si>
    <t>исполнение за 2018 год</t>
  </si>
  <si>
    <t>исполнение от уточненного плана, тыс. руб.</t>
  </si>
  <si>
    <t>исполнение от утвержденного плана, %,</t>
  </si>
  <si>
    <t>исполнение от уточненного плана, %,</t>
  </si>
  <si>
    <t>отклонение от исполнения 2017 года, %,</t>
  </si>
  <si>
    <t>начислено  за 2018 год</t>
  </si>
  <si>
    <t>Утвержденные назначения</t>
  </si>
  <si>
    <t xml:space="preserve"> Уточненные назначения</t>
  </si>
  <si>
    <t>000 1 00 00000 00 0000 000</t>
  </si>
  <si>
    <t xml:space="preserve">НАЛОГОВЫЕ И НЕНАЛОГОВЫЕ ДОХОДЫ </t>
  </si>
  <si>
    <t>Налоговые доходы</t>
  </si>
  <si>
    <t>удельный вес в общем объеме доходов, %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</si>
  <si>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</si>
  <si>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</si>
  <si>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</si>
  <si>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</si>
  <si>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182 1 01 02020 01 0000 110</t>
  </si>
  <si>
    <t>НДФЛ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</si>
  <si>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182 1 01 02030 01 0000 110</t>
  </si>
  <si>
    <t>НДФЛ с доходов, полученных физическими лицами в соответствии со статьей 228 НК РФ</t>
  </si>
  <si>
    <t>182 1 01 02040 01 0000 110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</si>
  <si>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</si>
  <si>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000 103 00000 00 0000 000</t>
  </si>
  <si>
    <t>Налоги на товары (работы, услуги), реализуемые на территории РФ</t>
  </si>
  <si>
    <t>000 103 02230 01 0000 110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</si>
  <si>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</si>
  <si>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</si>
  <si>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</si>
  <si>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</si>
  <si>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</si>
  <si>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</si>
  <si>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</si>
  <si>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000 1 05 00000 00 0000 000</t>
  </si>
  <si>
    <t>НАЛОГИ НА СОВОКУПНЫЙ ДОХОД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</si>
  <si>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</si>
  <si>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</si>
  <si>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</si>
  <si>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</si>
  <si>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</si>
  <si>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</si>
  <si>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списано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</si>
  <si>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</si>
  <si>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</si>
  <si>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</si>
  <si>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</si>
  <si>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</si>
  <si>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</si>
  <si>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</si>
  <si>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</si>
  <si>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</si>
  <si>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</si>
  <si>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650 1 08 07175 01 0000 110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</si>
  <si>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</si>
  <si>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</si>
  <si>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</si>
  <si>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</si>
  <si>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070 1 11 05013 10 0000 120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</si>
  <si>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</si>
  <si>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</si>
  <si>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</si>
  <si>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</si>
  <si>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им-ва б и а у)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</si>
  <si>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</si>
  <si>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</si>
  <si>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000 111 07015 10 0000120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</si>
  <si>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</si>
  <si>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</si>
  <si>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</si>
  <si>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000 1 13  00000 00 0000 000</t>
  </si>
  <si>
    <t>ДОХОДЫ ОТ ОКАЗАНИЯ ПЛАТНЫХ УСЛУГ (РАБОТ) И КОМПЕНСАЦИИ ЗАТРАТ ГОСУДАРСТВА</t>
  </si>
  <si>
    <t>650 1 13 01995 10 0000 130</t>
  </si>
  <si>
    <t>Прочие доходы от оказания платных услуг (работ) получателями средств бюджетов сельских поселений</t>
  </si>
  <si>
    <t>650 1 13 02995 10 0000 130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</si>
  <si>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</si>
  <si>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</si>
  <si>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</si>
  <si>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 xml:space="preserve"> 650 1 14 02053 10 0000 410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</si>
  <si>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</si>
  <si>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650 1 14 02053 10 0000 440</t>
  </si>
  <si>
    <t>Доходы от реализации иного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</si>
  <si>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</si>
  <si>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участков, находящихся в собственности муниципальных бюджетных и автономных учреждений)</t>
  </si>
  <si>
    <t>070 1 14 06013 10 0000 430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</si>
  <si>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</si>
  <si>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000 1 16 00000 00 0000 000</t>
  </si>
  <si>
    <t>ШТРАФЫ, САНКЦИИ, ВОЗМЕЩЕНИЕ УЩЕРБА</t>
  </si>
  <si>
    <t>650 1 16 23050 10 0000 140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</si>
  <si>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поселений </t>
  </si>
  <si>
    <t>650 1 16 23052 10 0000 140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</si>
  <si>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 </t>
  </si>
  <si>
    <t>650 1 16 90050 10 0000 140</t>
  </si>
  <si>
    <t xml:space="preserve">Прочие поступления от денежных взысканий (штрафов) и иных сумм в возмещение ущерба , зачисляемые в бюджеты поселений </t>
  </si>
  <si>
    <t>161 1 16 33050 10 0000 140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</si>
  <si>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</si>
  <si>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188 1 16 30015 01 0000 140</t>
  </si>
  <si>
    <t>МВД</t>
  </si>
  <si>
    <t xml:space="preserve">650 1 17 00000 00 0000 000 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</si>
  <si>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</si>
  <si>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</si>
  <si>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</si>
  <si>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</si>
  <si>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 поступления от других бюджетов бюджетной системы РФ</t>
  </si>
  <si>
    <t>000 2 02 10000 00 0000 151</t>
  </si>
  <si>
    <t>Дотации бюджетам бюджетной системы Российской Федерации</t>
  </si>
  <si>
    <t>650 2 02 15001 10 0000 151</t>
  </si>
  <si>
    <t xml:space="preserve">Дотации бюджетам сельских поселений на выравнивание  бюджетной обеспеченности </t>
  </si>
  <si>
    <t>650 2 02 15002 10 0000 151</t>
  </si>
  <si>
    <t>Дотации бюджетам сельских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</si>
  <si>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</si>
  <si>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</si>
  <si>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650 2 02 02041 10 0000 151</t>
  </si>
  <si>
    <t>Субсидии бюджетам 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</si>
  <si>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650 2 02 02109 10 0000 151</t>
  </si>
  <si>
    <t>Субсидии бюджетам поселений на проведение капитального ремонта многоквартирных домов</t>
  </si>
  <si>
    <t>650 2 02 02150 10 0000 151</t>
  </si>
  <si>
    <t xml:space="preserve">Субсидии бюджетам поселений на реализацию программы энергосбережения и повышения энергетической эффективности на период до 2020 года </t>
  </si>
  <si>
    <t>650 2 02 02999 10 0000 151</t>
  </si>
  <si>
    <t>Прочие субсидии бюджетам поселений</t>
  </si>
  <si>
    <t>522 21 00</t>
  </si>
  <si>
    <t>модернизация жкх</t>
  </si>
  <si>
    <t>522 70 00</t>
  </si>
  <si>
    <t>наш дом</t>
  </si>
  <si>
    <t>522 28 06</t>
  </si>
  <si>
    <t>культура</t>
  </si>
  <si>
    <t>энергосбережение окр</t>
  </si>
  <si>
    <t>наш дом (дорожн.фонд)</t>
  </si>
  <si>
    <t xml:space="preserve">Содействие местному самоуправлению в развитии культурно-исторических традиций на 2013-2015 годы и на период до 2020 года </t>
  </si>
  <si>
    <t>профилактика правонарушений</t>
  </si>
  <si>
    <t>000 2 02 30000 00 0000 151</t>
  </si>
  <si>
    <t>Субвенции бюджетам бюджетной системы Российской Федерации</t>
  </si>
  <si>
    <t>650 2 02 30024 10 0000 151</t>
  </si>
  <si>
    <t>Субвенции бюджетам сельских поселений на выполнение передаваемых полномочий субъектов РФ</t>
  </si>
  <si>
    <t>650 2 02 35930 10 0000 151</t>
  </si>
  <si>
    <t>Субвенции бюджетам сельских поселений на государственную регистрацию актов гражданского состояния</t>
  </si>
  <si>
    <t>650 2 02 35118 10 0000 151</t>
  </si>
  <si>
    <t>Субвенции бюджетам сельских поселений на осуществление первичного воинского учета на территории, где отсутствуют военные комиссариаты</t>
  </si>
  <si>
    <t>000 2 02 40000 0000 151</t>
  </si>
  <si>
    <t>Иные межбюджетные трансферты</t>
  </si>
  <si>
    <t>650 2 02 04012 10 0000 151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</si>
  <si>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</si>
  <si>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650 2 02 04014 10 0000 151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</si>
  <si>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</si>
  <si>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000 2 02 04029 10 0000151</t>
  </si>
  <si>
    <t xml:space="preserve">Межбюджетные трансферты, передаваемые бюджетам сельских поселений на реализацию дополнительных мероприятий,направленных на снижение напряженности на рынке труда </t>
  </si>
  <si>
    <t>650 2 02 49999 10 0000 151</t>
  </si>
  <si>
    <t>Прочие межбюджетные трансферты, передаваемые бюджетам сельских поселений</t>
  </si>
  <si>
    <t>Развитие транспортной системы (окр.)</t>
  </si>
  <si>
    <t>Развитие транспортной системы (на содержание дорог район)</t>
  </si>
  <si>
    <t xml:space="preserve">Содействие занятости населения </t>
  </si>
  <si>
    <t>Развитие физической культуры и спорта на территории ОР</t>
  </si>
  <si>
    <t>"МП "Культура ОР" (библиотеки)</t>
  </si>
  <si>
    <t>Культура ОР "Создание единого культурного пространства"</t>
  </si>
  <si>
    <t>на реконструкцию, расширение, модернизацию, строительство и капремонт объектов КК в рамках  МП "Развитие жилищно-коммунального комплекса и повышение энергетической эффективности в МООР"</t>
  </si>
  <si>
    <t>Развитие ЖКК и повышение энергетической эффективности (благоустройство)</t>
  </si>
  <si>
    <t>Модернизация и реформирование ЖКК подпр"Обеспечение реализации госпр. Разр схем водоснабж"</t>
  </si>
  <si>
    <t>«Защита населения и территории Октябрьского района от чрезвычайных ситуаций природного и техногенного характера»</t>
  </si>
  <si>
    <t xml:space="preserve">энергосбережение </t>
  </si>
  <si>
    <t>наказы избирателей</t>
  </si>
  <si>
    <t>профилактика экстремизма</t>
  </si>
  <si>
    <t>утилизация отходов</t>
  </si>
  <si>
    <t>доступ инвалидов</t>
  </si>
  <si>
    <t>административный центр</t>
  </si>
  <si>
    <t>ИМБТ на содействие местному самоуправлению в развитии культурно-исторических традиций</t>
  </si>
  <si>
    <t>на повыш оплаты труда работников МУ культуры в целях реализации указов Президента РФ</t>
  </si>
  <si>
    <t>на развитие общ инфраструктуры в рамках подпрограммы "Совершенствование МБО в ОР" МП "Управление МФ в ОР"</t>
  </si>
  <si>
    <t xml:space="preserve">на грантовую поддержку по итогам работы органов местного самоуправления в рамках муниципальной программы «Управление муниципальными финансами в Октябрьском районе» </t>
  </si>
  <si>
    <t>Управление муниципальной собственностью</t>
  </si>
  <si>
    <t>Развитие образования</t>
  </si>
  <si>
    <t xml:space="preserve">000
2 02 90054 10 0000 151
</t>
  </si>
  <si>
    <t>Прочие безвозмездные поступления в бюджеты сельских поселений от бюджетов муниципальных районов</t>
  </si>
  <si>
    <t>000 202 90024 10 0000 151</t>
  </si>
  <si>
    <t>Прочие безвозмездные поступления в бюджеты сельских поселений от бюджетов субъектов Российской Федерации</t>
  </si>
  <si>
    <t>000 2 07 00000 10 0000 180</t>
  </si>
  <si>
    <t>ПРОЧИЕ БЕЗВОЗМЕЗДНЫЕ ПОСТУПЛЕНИЯ</t>
  </si>
  <si>
    <t>650 2 07 05030 10 0000 180</t>
  </si>
  <si>
    <t>Прочие безвозмездные поступления в бюджеты сельских поселений</t>
  </si>
  <si>
    <t>650 2 19 05000 10 0000 151</t>
  </si>
  <si>
    <t>Возврат остатков субсидий, субвенций и иных межбюджетных трансфертов, имеющих целевое значение, прошлых лет из бюджетов сельских поселений</t>
  </si>
  <si>
    <t>ВСЕГО ДОХОДОВ</t>
  </si>
  <si>
    <t>Собственные доходы бюджета</t>
  </si>
  <si>
    <t>удельный вес в общих доходах бюджета, %</t>
  </si>
  <si>
    <t>Межбюджетные трансферты (за исключением субвенций)</t>
  </si>
  <si>
    <t xml:space="preserve">Доля дотаций из других бюджетов бюджетной системы Российской Федерации и (или) налоговых доходов по дополнительным нормативам отчислений в собственных доходах местного бюджета,  %
</t>
  </si>
  <si>
    <t>проверка</t>
  </si>
  <si>
    <t>расходы</t>
  </si>
  <si>
    <t>дефицит</t>
  </si>
  <si>
    <t>% дефицита</t>
  </si>
  <si>
    <t>остатки на начало года</t>
  </si>
  <si>
    <t>остатки на конец года</t>
  </si>
  <si>
    <t>во временном распоряжении</t>
  </si>
  <si>
    <t>проверка остатков</t>
  </si>
  <si>
    <t>дор фонд</t>
  </si>
  <si>
    <t>ДФ в решении</t>
  </si>
  <si>
    <t>в т.ч. за счет налоговых</t>
  </si>
  <si>
    <t>остаток</t>
  </si>
  <si>
    <t>Прогр</t>
  </si>
  <si>
    <t>Усл утв</t>
  </si>
  <si>
    <t>Рез</t>
  </si>
  <si>
    <t>программы</t>
  </si>
  <si>
    <t>условно утв</t>
  </si>
  <si>
    <t>резерв</t>
  </si>
  <si>
    <t>ВСЕГО</t>
  </si>
  <si>
    <t>1957,9</t>
  </si>
  <si>
    <t>03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</si>
  <si>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</si>
  <si>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</si>
  <si>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02</t>
  </si>
  <si>
    <t>11</t>
  </si>
  <si>
    <t>Массовый спорт</t>
  </si>
  <si>
    <t>20</t>
  </si>
  <si>
    <t>01</t>
  </si>
  <si>
    <t xml:space="preserve">Физическая культура </t>
  </si>
  <si>
    <t>Физическая культура и спорт</t>
  </si>
  <si>
    <t>10</t>
  </si>
  <si>
    <t>Пенсионное обеспечение</t>
  </si>
  <si>
    <t>Социальная политика</t>
  </si>
  <si>
    <t>110</t>
  </si>
  <si>
    <t>04</t>
  </si>
  <si>
    <t>08</t>
  </si>
  <si>
    <t>Другие вопросы в области социальной политики</t>
  </si>
  <si>
    <t>Кинематография</t>
  </si>
  <si>
    <t>7523</t>
  </si>
  <si>
    <t xml:space="preserve">Культура </t>
  </si>
  <si>
    <t xml:space="preserve">Культура, кинематография </t>
  </si>
  <si>
    <t>5</t>
  </si>
  <si>
    <t>07</t>
  </si>
  <si>
    <t>Молодежная политика и оздоровление детей</t>
  </si>
  <si>
    <t>Образование</t>
  </si>
  <si>
    <t>Другие вопросы в области охраны окружающей среды</t>
  </si>
  <si>
    <t>Охрана окружающей среды</t>
  </si>
  <si>
    <t>3263</t>
  </si>
  <si>
    <t>05</t>
  </si>
  <si>
    <t>Благоустройство</t>
  </si>
  <si>
    <t>Коммунальное  хозяйство</t>
  </si>
  <si>
    <t>1643</t>
  </si>
  <si>
    <t xml:space="preserve">Жилищное хозяйство </t>
  </si>
  <si>
    <t>Жилищно-коммунальное хозяйство</t>
  </si>
  <si>
    <t>17</t>
  </si>
  <si>
    <t>12</t>
  </si>
  <si>
    <t>Другие вопросы в области национальной экономики</t>
  </si>
  <si>
    <t>226</t>
  </si>
  <si>
    <t>Связь и информатика</t>
  </si>
  <si>
    <t>09</t>
  </si>
  <si>
    <t>Дорожное хозяйство (дорожные фонды)</t>
  </si>
  <si>
    <t>184</t>
  </si>
  <si>
    <t>Транспорт</t>
  </si>
  <si>
    <t>Общеэкономические вопросы</t>
  </si>
  <si>
    <t>Национальная экономика</t>
  </si>
  <si>
    <t>251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</si>
  <si>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</si>
  <si>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</si>
  <si>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</si>
  <si>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212,9</t>
  </si>
  <si>
    <t>Мобилизационная  и вневойсковая подготовка</t>
  </si>
  <si>
    <t>Национальная оборона</t>
  </si>
  <si>
    <t>2758</t>
  </si>
  <si>
    <t>13</t>
  </si>
  <si>
    <t>Другие общегосударственные вопросы</t>
  </si>
  <si>
    <t>64</t>
  </si>
  <si>
    <t>Резервные фонды</t>
  </si>
  <si>
    <t>Обеспечение проведения выборов и референдумов</t>
  </si>
  <si>
    <t>3889,7</t>
  </si>
  <si>
    <t>Функционирование  местных администраций</t>
  </si>
  <si>
    <t>%</t>
  </si>
  <si>
    <t>2055</t>
  </si>
  <si>
    <t>Функционирование высшего должностного лица  МО</t>
  </si>
  <si>
    <t>Общегосударственные вопросы</t>
  </si>
  <si>
    <t>Отклонение РСД №21 от РСД №226, %</t>
  </si>
  <si>
    <t>Отклонение РСД №21 от РСД №226, тыс. руб.</t>
  </si>
  <si>
    <t>% исполнения от исполнения  2017 г.</t>
  </si>
  <si>
    <t>% исполнения от РСД №21</t>
  </si>
  <si>
    <t>% исполнения от РСД №226</t>
  </si>
  <si>
    <t>% исполнения от бюджетной росписи</t>
  </si>
  <si>
    <t>Отклонение бюджетной росписи от исполнения</t>
  </si>
  <si>
    <t>Отклонение бюджетной росписи от РСД №21,%</t>
  </si>
  <si>
    <t>Отклонение бюджетной росписи от РСД №21, тыс. руб.</t>
  </si>
  <si>
    <t>Исполнение</t>
  </si>
  <si>
    <t>Бюджетная роспись</t>
  </si>
  <si>
    <t>РСД от 21.12.18 №21</t>
  </si>
  <si>
    <t>Проект 2021 год</t>
  </si>
  <si>
    <t>Проект 2020 год</t>
  </si>
  <si>
    <t>Проект 2019 год</t>
  </si>
  <si>
    <t>Оценка исполнения 2018 год</t>
  </si>
  <si>
    <t>Исполнение на 01.11.18</t>
  </si>
  <si>
    <t>Уточненный план</t>
  </si>
  <si>
    <t>РСД от 09.11.18      №16</t>
  </si>
  <si>
    <t>РСД от 22.12.17 №226 (первонач.  план  2018 г.)</t>
  </si>
  <si>
    <t>Исполнение за 2017 год</t>
  </si>
  <si>
    <t>РСД от 25.12.17 №227</t>
  </si>
  <si>
    <t>%18-17</t>
  </si>
  <si>
    <t>18-17</t>
  </si>
  <si>
    <t>Удельный вес расходов, 2020 г., %</t>
  </si>
  <si>
    <t>Удельный вес расходов, 2019 г., %</t>
  </si>
  <si>
    <t>Удельный вес расходов, 2018 г., %</t>
  </si>
  <si>
    <t>Удельный вес расходов, 2017 г., %</t>
  </si>
  <si>
    <t>Проект 2020 г.</t>
  </si>
  <si>
    <t>Проект 2019 г.</t>
  </si>
  <si>
    <t>Проект 2018 г.</t>
  </si>
  <si>
    <t>Ожидаемое исполнение 2017 г.</t>
  </si>
  <si>
    <t>РСД от 07.11.17  №216</t>
  </si>
  <si>
    <t>РСД от 25.12.16 №167</t>
  </si>
  <si>
    <t>Исполнение за 2016 год</t>
  </si>
  <si>
    <t>Структура 2019 г., %</t>
  </si>
  <si>
    <t>Структура 2018 г., %</t>
  </si>
  <si>
    <t>Структура 2017 г., %</t>
  </si>
  <si>
    <t>Прооект     2019 г.</t>
  </si>
  <si>
    <t>Проект    2018 г.</t>
  </si>
  <si>
    <t>% расходов в 2017 г. от ожид. исполн. 2016 г</t>
  </si>
  <si>
    <t>% расходов в 2017 г. от РСД 152</t>
  </si>
  <si>
    <t>% расходов в 2017 г. от РСД 114</t>
  </si>
  <si>
    <t>Проект            2017 г.</t>
  </si>
  <si>
    <t>РСД от 25.12.16 №168</t>
  </si>
  <si>
    <t>Ожидаемое исполнение за 2016 год</t>
  </si>
  <si>
    <t>Исполнение  на 01.12.2016</t>
  </si>
  <si>
    <t>РСД от 14.11.16 № 152</t>
  </si>
  <si>
    <t>РСД от 25.12.15 №114</t>
  </si>
  <si>
    <t>удельный вес</t>
  </si>
  <si>
    <t>% исполнения от исполнения 2014 г.</t>
  </si>
  <si>
    <t>%исполн от РСД №57</t>
  </si>
  <si>
    <t>% исполн от РСД №116</t>
  </si>
  <si>
    <t>% исполнения от бюдж.росп</t>
  </si>
  <si>
    <t>Отклонение исполнения от БР</t>
  </si>
  <si>
    <t>Проект 2016</t>
  </si>
  <si>
    <t>%исполн от РСД №38</t>
  </si>
  <si>
    <t>% исполн от РСД №52</t>
  </si>
  <si>
    <t>Отклонение БР от РСД №116</t>
  </si>
  <si>
    <t>Отклонение  РСД 116от РСД№57, тыс. руб</t>
  </si>
  <si>
    <t>Отклонение  РСД 116от РСД№57, %</t>
  </si>
  <si>
    <t>Исполнение за 2015 год</t>
  </si>
  <si>
    <t>РСД от 31.12.15 №116</t>
  </si>
  <si>
    <t>Ожидаемое исполнение за 2015 год</t>
  </si>
  <si>
    <t>Исполнение на 01.11.2015</t>
  </si>
  <si>
    <t>РСД от 26.10.2015 №96</t>
  </si>
  <si>
    <t>РСД от 26.12.2014 №57</t>
  </si>
  <si>
    <t>% исполнения от исполнения 2013 года</t>
  </si>
  <si>
    <t>% исполнения от РСД №20</t>
  </si>
  <si>
    <t>% исполнения от уточненного плана</t>
  </si>
  <si>
    <t>% исполнения от РСД № 58</t>
  </si>
  <si>
    <t>Отклонение исполнения от РСД №58</t>
  </si>
  <si>
    <t>Исполнение за 2014 год</t>
  </si>
  <si>
    <t>Отклонение бюдж. роспиис от РСД №58</t>
  </si>
  <si>
    <t>Отклонение РСД №25 от РСД №20, %</t>
  </si>
  <si>
    <t>Отклонение РСД №25 от РСД №20</t>
  </si>
  <si>
    <t>Бюджет на 2014 год (РСД от 26.12.14 №58)</t>
  </si>
  <si>
    <t>Исполнение на 01.11.2014</t>
  </si>
  <si>
    <t>Бюджет на 2014 год (РСД от 17.10.14 №45)</t>
  </si>
  <si>
    <t>Бюджет на 2014 год (РСД от 27.12.13 №20)</t>
  </si>
  <si>
    <t>Разница между бюджетом и росписью,%</t>
  </si>
  <si>
    <t>Разница между бюджетом и росписью, тыс. руб.</t>
  </si>
  <si>
    <t>Разница между конечным бюджетом (РСД №21) и первоначальным бюджетом (РСД №224 )</t>
  </si>
  <si>
    <t>Удельный вес расходов (исполнение)</t>
  </si>
  <si>
    <t>% изменения бюджетной росписи от первоначального бюджета (РСД от 28.12.12 №224)</t>
  </si>
  <si>
    <t>% исполнения от РСД от 27.12.13 №21</t>
  </si>
  <si>
    <t>% исполнения от РСД от 28.12.12 №224</t>
  </si>
  <si>
    <t>Разница между исполнением и бюджетной росписью</t>
  </si>
  <si>
    <t>Исполнение за 2013 год</t>
  </si>
  <si>
    <t>бюджетная роспись от 31.12.13</t>
  </si>
  <si>
    <t>РСД от 27.12.13 №21</t>
  </si>
  <si>
    <t>РСД от 28.12.12 №224</t>
  </si>
  <si>
    <t>уд. вес расходов 2016 г.</t>
  </si>
  <si>
    <t>уд. вес расходов 2015 г.</t>
  </si>
  <si>
    <t>уд. вес расходов 2014 г.</t>
  </si>
  <si>
    <t>Проект на 2016 год</t>
  </si>
  <si>
    <t>Проект на 2015 год</t>
  </si>
  <si>
    <t>Разница</t>
  </si>
  <si>
    <t>% исполнения 2013 к проекту 2014 года</t>
  </si>
  <si>
    <t>Проект на 2014 год</t>
  </si>
  <si>
    <t>% исполнения 2013 год</t>
  </si>
  <si>
    <t xml:space="preserve">Ожидаемое исполнение бюджета за 2013 год </t>
  </si>
  <si>
    <t>план на 2013 год (РСД от 30.09.13 №7)</t>
  </si>
  <si>
    <t>% исполнения к 2011 году</t>
  </si>
  <si>
    <t>неисполнено, тыс. руб.</t>
  </si>
  <si>
    <t>уд.вес расходов, %</t>
  </si>
  <si>
    <t>% исполнения от утвержденного плана</t>
  </si>
  <si>
    <t>Исполнение за 2012 год</t>
  </si>
  <si>
    <t>Отклонение от уточненного плана, тыс. руб.</t>
  </si>
  <si>
    <t>Бюджетная роспись, тыс. руб.</t>
  </si>
  <si>
    <t>Отклонение,%</t>
  </si>
  <si>
    <t>Отклонения от первоначального бюджета , сумма</t>
  </si>
  <si>
    <t>Уточненный
план, РСД от 28.12.2012 №223,     тыс. руб.</t>
  </si>
  <si>
    <t>Утвержденный план.,  РСД от 26.12.2011 № 184,тыс. руб.</t>
  </si>
  <si>
    <t xml:space="preserve">Исполнение бюджета за 2011 год </t>
  </si>
  <si>
    <t>ПР</t>
  </si>
  <si>
    <t>Рз</t>
  </si>
  <si>
    <t>Наименование</t>
  </si>
  <si>
    <t>Анализ исполнения бюджета поселения Карымкары  по разделам и подразделам классификации расходов бюджета</t>
  </si>
  <si>
    <t>Приложение №2</t>
  </si>
  <si>
    <t>Приложение №3</t>
  </si>
  <si>
    <t>Ведомственная структура  расходов бюджета  сельского поселения Карымкары за 2018 год</t>
  </si>
  <si>
    <t xml:space="preserve"> (тыс. руб.)</t>
  </si>
  <si>
    <t>Пр</t>
  </si>
  <si>
    <t>ЦСР</t>
  </si>
  <si>
    <t>ВР</t>
  </si>
  <si>
    <t>КОСГУ</t>
  </si>
  <si>
    <t>РСД от 22.12.17 №226</t>
  </si>
  <si>
    <t>Администрация сельского поселения Карымкары</t>
  </si>
  <si>
    <t>Функционирование высшего должностного лица  муниципального образования</t>
  </si>
  <si>
    <t>Непрограммные направления деятельности</t>
  </si>
  <si>
    <t>40 0 00 00000</t>
  </si>
  <si>
    <t>Непрограммное направление деятельности "Обеспечение деятельности муниципальных органов власти"</t>
  </si>
  <si>
    <t>40 1 00 00000</t>
  </si>
  <si>
    <t>Глава  муниципального  образования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</si>
  <si>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</si>
  <si>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</si>
  <si>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</si>
  <si>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Заместитель главы  муниципального  образования </t>
  </si>
  <si>
    <t>40 1 00 02060</t>
  </si>
  <si>
    <t>Расходы на обеспечение функций  муниципальных  органов власти в рамках непрограммного  направления деятельности "Обеспечение деятельности муниципальных органов власти"</t>
  </si>
  <si>
    <t>40 1 00 02040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</si>
  <si>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</si>
  <si>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40 1 00 99990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</si>
  <si>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</si>
  <si>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</si>
  <si>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Непрограммное  направление деятельности" Исполнение  отдельных  расходных  обязательств сельского поселения Карымкары"</t>
  </si>
  <si>
    <t>40 8 00 00000</t>
  </si>
  <si>
    <t xml:space="preserve">Резервные фонды исполнительных муниципальных органов власти </t>
  </si>
  <si>
    <t>40 8 00 20210</t>
  </si>
  <si>
    <t>Иные бюджетные ассигнования</t>
  </si>
  <si>
    <t>Резервные средства</t>
  </si>
  <si>
    <t>Прочие мероприятия органов местного самоуправления</t>
  </si>
  <si>
    <t>40 1 00 02400</t>
  </si>
  <si>
    <t>Социальное  обеспечение  и иные выплаты  населению</t>
  </si>
  <si>
    <t>Иные выплаты населению</t>
  </si>
  <si>
    <t xml:space="preserve">Уплата налогов, сборов и иных платежей </t>
  </si>
  <si>
    <t>Межбюджетные трансферты</t>
  </si>
  <si>
    <t>41 1 00 00000</t>
  </si>
  <si>
    <t xml:space="preserve">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</si>
  <si>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</si>
  <si>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41 1 00 89020</t>
  </si>
  <si>
    <t xml:space="preserve">Межбюджетные трансферты </t>
  </si>
  <si>
    <t xml:space="preserve">Иные межбюджетные трансферты </t>
  </si>
  <si>
    <t>Мобилизационная и вневойсковая подготовка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</si>
  <si>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</si>
  <si>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</si>
  <si>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</si>
  <si>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</si>
  <si>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Национальная  безопасность  и правоохранительная  деятельность</t>
  </si>
  <si>
    <t>Муниципальная  программа "Профилактика  экстремизма и правонарушений в сфере общественного  порядка, безопасности дорожного движения, незаконного  оборота и злоупотребления наркотиками в Октябрьском  районе на 2018-2020 годы и на плановый  период  до 2025 года"</t>
  </si>
  <si>
    <t>12 0 00 00000</t>
  </si>
  <si>
    <t>Подпрограмма" Профилактика  правонарушений в сфере общественного  порядка и безопасности  дорожного  движения"</t>
  </si>
  <si>
    <t>12 1 00 00000</t>
  </si>
  <si>
    <t>Основное  мероприятие "Мероприятия направленные на профилактику правонарушений в сфере общественного  порядка и безопасности  дорожного  движения"</t>
  </si>
  <si>
    <t>12 1 01 00000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</si>
  <si>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состояния( за счет  средств федерального  бюджета)</t>
  </si>
  <si>
    <t>12 1 01 59300</t>
  </si>
  <si>
    <t>Защита населения и территории от  чрезвычайных ситуаций природного и техногенного характера, гражданская оборона</t>
  </si>
  <si>
    <t>Муниципальная программа" О защите населения и территории Октябрьского  района от чрезвычайных  ситуаций  природного   и техногенного характера на 2018-2020 годы и на плановый период до 2025 года"</t>
  </si>
  <si>
    <t>14 0 00 00000</t>
  </si>
  <si>
    <t>Основное  мероприятие "Реализация  мероприятий по защите населения и территории Октябрьского  района от чрезвычайных ситуаций природного  и  техногенного  характера"</t>
  </si>
  <si>
    <t>14 0 01 00000</t>
  </si>
  <si>
    <t>Реализация  мероприятий</t>
  </si>
  <si>
    <t>14 0 01 99990</t>
  </si>
  <si>
    <t>Иные закупки товаров, работ и услуг для государственных (муниципальных) нужд</t>
  </si>
  <si>
    <t>Мероприятия по защите населения и территории от  чрезвычайных ситуаций природного и техногенного характера, гражданская оборона в рамках непрограммного направления  деятельности</t>
  </si>
  <si>
    <t>40 2 00 00000</t>
  </si>
  <si>
    <t xml:space="preserve">Создание и содержание резервов материальных ресурсов (запасов) для предупреждения, ликвидации чрезвычайных ситуаций  </t>
  </si>
  <si>
    <t>40 2 00 20030</t>
  </si>
  <si>
    <t xml:space="preserve">Закупка товаров, работ и услуг в целях формирования государственного материального резерва </t>
  </si>
  <si>
    <t>Реализация мероприятий</t>
  </si>
  <si>
    <t>40 2 00 99990</t>
  </si>
  <si>
    <t>Национальная  экономика</t>
  </si>
  <si>
    <t>Муниципальная  программа " Улучшение  условий  и охраны  труда, развитие  социального  партнерства и содействие занятости населения в муниципальном  образовании Октябрьский  район  на 2018-2020  годы и на плановый период до 2025 года"</t>
  </si>
  <si>
    <t>19 0 00 00000</t>
  </si>
  <si>
    <t>Подпрограмма " Содействие трудоустройству граждан"</t>
  </si>
  <si>
    <t>19 3 00 00000</t>
  </si>
  <si>
    <t>Основное  мероприятие " Реализация  мероприятий по содействию трудоустройству граждан"</t>
  </si>
  <si>
    <t>19 3 01 00000</t>
  </si>
  <si>
    <t>Расходы на реализацию мероприятий по содействию  трудоустройства  граждан</t>
  </si>
  <si>
    <t>19 3 01 85060</t>
  </si>
  <si>
    <t xml:space="preserve">Расходы на выплаты персоналу казенных учреждений </t>
  </si>
  <si>
    <t>Для софинансирования на реализацию мероприятий по содействию трудоустройства граждан</t>
  </si>
  <si>
    <t>19 3 01 S5060</t>
  </si>
  <si>
    <t xml:space="preserve">Мероприятия в области национальной экономики  </t>
  </si>
  <si>
    <t>40 3 00 00000</t>
  </si>
  <si>
    <t>Предоставление субсидий организациям</t>
  </si>
  <si>
    <t>40 3 00 61100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</si>
  <si>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</si>
  <si>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 программа "Развитие  транспортной системы муниципального  образования  Октябрьский  район на 2018-2020 годы и на плановый период до 2025 года"</t>
  </si>
  <si>
    <t>11 0 00 00000</t>
  </si>
  <si>
    <t xml:space="preserve">Подпрограмма "Дорожное  хозяйство " </t>
  </si>
  <si>
    <t>11 1 00 00000</t>
  </si>
  <si>
    <t>Основное  мероприятие "Реализация мероприятий в рамках дорожной  деятельности"</t>
  </si>
  <si>
    <t>11 1 01 00000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</si>
  <si>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</si>
  <si>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11 1 01 82390</t>
  </si>
  <si>
    <t xml:space="preserve">Доля софинансирования расходов на строительство (реконструкцию), капитальный ремонт и ремонт автомобильных дорог общего пользования местного значения </t>
  </si>
  <si>
    <t>11 1 01 S2390</t>
  </si>
  <si>
    <t>Мероприятия в области дорожного хозяйства</t>
  </si>
  <si>
    <t xml:space="preserve">Реализация мероприятий </t>
  </si>
  <si>
    <t>40 3 00 99990</t>
  </si>
  <si>
    <t>Жилищно-коммунальное  хозяйство</t>
  </si>
  <si>
    <t>Жилищное  хозяйство</t>
  </si>
  <si>
    <t xml:space="preserve">Мероприятия в области  жилищно-коммунального хозяйства </t>
  </si>
  <si>
    <t>40 6 00 00000</t>
  </si>
  <si>
    <t>40 6 00 99990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</si>
  <si>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2018-2020 годы и на плановый период до 2025 года"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</si>
  <si>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</si>
  <si>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</si>
  <si>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</si>
  <si>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"Реализация мероприятий обеспечения  качественными  коммунальными  услугами"</t>
  </si>
  <si>
    <t>10 1 01 00000</t>
  </si>
  <si>
    <t>Расходы на реализацию полномочий в сфере жилищно-коммунального комплекса</t>
  </si>
  <si>
    <t>10 1 01 82590</t>
  </si>
  <si>
    <t>Расходы на реализацию полномочий в сфере жилищно-коммунального комплекса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</si>
  <si>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10 1 01 82591</t>
  </si>
  <si>
    <t>Доля софинансирования на расходы на реализацию полномочий в сфере жилищно-коммунального комплекса</t>
  </si>
  <si>
    <t>10 1 01 S2591</t>
  </si>
  <si>
    <t>Муниципальная программа"Развитие жилищно-коммунального комплекса и повышение энергетической эффективности в муниципальном образовании Октябрьский район на 2018-2020 годы и на плановый период до 2025 года"</t>
  </si>
  <si>
    <t>Подпрограмма "Формирование комфортной городской среды"</t>
  </si>
  <si>
    <t>10 6 00 00000</t>
  </si>
  <si>
    <t>Основное мероприятие  "Увеличение количества благоустроенных дворовых территорий и мест общего пользования"</t>
  </si>
  <si>
    <t>10 6 01 00000</t>
  </si>
  <si>
    <t>Расходы на благоустройство территорий муниципальных образований</t>
  </si>
  <si>
    <t>10 6 01 82600</t>
  </si>
  <si>
    <t>Доля софинансирования расходов на благоустройство территорий муниципальных образований</t>
  </si>
  <si>
    <t>10 6 01 S2600</t>
  </si>
  <si>
    <t>Поддержка государственных  программ субъетов Российской Федерации  и муниципальных  программ формирования современной  городской  среды</t>
  </si>
  <si>
    <t>10 6 01 L5550</t>
  </si>
  <si>
    <t>Доля софинансирования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</si>
  <si>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/>
  </si>
  <si>
    <t>Муниципальная  программа "Охрана окружающей среды на территории муниципального образования Октябрьский район на 2018-2020 годы и плановый период до 2025 года"</t>
  </si>
  <si>
    <t>06 0 00 00000</t>
  </si>
  <si>
    <t>Основное мероприятие "Улучшение экологической ситуации на территории Октябрьского района"</t>
  </si>
  <si>
    <t>06 0 02 00000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</si>
  <si>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</si>
  <si>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06 0 02 84290</t>
  </si>
  <si>
    <t xml:space="preserve">Культура и кинематография </t>
  </si>
  <si>
    <t>Культура</t>
  </si>
  <si>
    <t>Муниципальная  программа "Культура Октябрьского  района  на 2018-2020 годы и на плановый  период  до 2025  года"</t>
  </si>
  <si>
    <t xml:space="preserve"> 03 0 00 00000</t>
  </si>
  <si>
    <t>Подпрограмма"Сохранение исторического и культурного наследия, снижение инфраструктурных ограничений с целью обеспечения функционирования всех видов культурной  деятельности"</t>
  </si>
  <si>
    <t xml:space="preserve"> 03 1 00 00000</t>
  </si>
  <si>
    <t>Основное  мероприятие "Развитие  библиотечного дела"</t>
  </si>
  <si>
    <t xml:space="preserve"> 03 1 01 00000</t>
  </si>
  <si>
    <t>Расходы на развитие  сферы культуры в муниципальных образованиях  автономного  округа</t>
  </si>
  <si>
    <t xml:space="preserve"> 03 1 01 82520</t>
  </si>
  <si>
    <t>03 1 01 S2520</t>
  </si>
  <si>
    <t xml:space="preserve">Подпрограмма "Совершенствование системы управления в сфере  культуры и архивного  дела" </t>
  </si>
  <si>
    <t>03 3 00 00000</t>
  </si>
  <si>
    <t>Основное  мероприятие " Реализация единой государственной политики в сфере  культуры и архивного дела</t>
  </si>
  <si>
    <t>03 3 01 00000</t>
  </si>
  <si>
    <t>Расходы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</si>
  <si>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03 3 01 82520</t>
  </si>
  <si>
    <t xml:space="preserve">03 3 01 82580 </t>
  </si>
  <si>
    <t xml:space="preserve">Мероприятия в области культуры  и кинематографии </t>
  </si>
  <si>
    <t>40 7 00 00000</t>
  </si>
  <si>
    <t xml:space="preserve">Расходы на обеспечение  деятельности  (оказание услуг) муниципальных  учреждений </t>
  </si>
  <si>
    <t>40 7 00 00590</t>
  </si>
  <si>
    <t xml:space="preserve">Мероприятия в сфере культуры и
кинематографии </t>
  </si>
  <si>
    <t>40 7 00 20700</t>
  </si>
  <si>
    <t>41 0 00 00000</t>
  </si>
  <si>
    <t>Иные межбюджетные трансферты на финансирование наказов избирателей депутатам Думы ХМАО-Югры</t>
  </si>
  <si>
    <t>41 2 00 85160</t>
  </si>
  <si>
    <t>Пенсии за выслугу лет, дополнительное пенсионное обеспечение</t>
  </si>
  <si>
    <t>40 1 00 71600</t>
  </si>
  <si>
    <t xml:space="preserve">Публично нормативные социальные выплаты  гражданам </t>
  </si>
  <si>
    <t>Физическая  культура</t>
  </si>
  <si>
    <t>Муниципальная программа "Развитие  физической  культуры и спорта на территории Октябрьского  района на 2018-2020 годы и на плановый период до 2025 года"</t>
  </si>
  <si>
    <t>04 0 00 00000</t>
  </si>
  <si>
    <t xml:space="preserve">Подпрограмма "Развитие  массовой  физической  культуры  и спорта" </t>
  </si>
  <si>
    <t>04 1 00 00000</t>
  </si>
  <si>
    <t>Основное мероприятие "Мероприятия на развитие массовой физической культуры и спорта"</t>
  </si>
  <si>
    <t>04 1 01 00000</t>
  </si>
  <si>
    <t>Расходы на проведение мероприятий</t>
  </si>
  <si>
    <t>04 1 01 20800</t>
  </si>
  <si>
    <t xml:space="preserve">Мероприятия в области физической  культуры и спорта </t>
  </si>
  <si>
    <t>41 0 00 00590</t>
  </si>
  <si>
    <t>Расходы на выплаты персоналу казенных учреждений</t>
  </si>
  <si>
    <t xml:space="preserve">Мероприятия в сфере физической  культуры и спорта </t>
  </si>
  <si>
    <t>41 0 00 20800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</si>
</sst>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.0_р_."/>
    <numFmt numFmtId="165" formatCode="#,##0_р_."/>
    <numFmt numFmtId="166" formatCode="#,##0.0"/>
    <numFmt numFmtId="167" formatCode="0.000"/>
    <numFmt numFmtId="168" formatCode="0.0"/>
    <numFmt numFmtId="169" formatCode="#,##0.00000_р_."/>
    <numFmt numFmtId="170" formatCode="0.00000"/>
    <numFmt numFmtId="171" formatCode="0.0%"/>
    <numFmt numFmtId="172" formatCode="0.0000"/>
    <numFmt numFmtId="173" formatCode="00"/>
    <numFmt numFmtId="174" formatCode="000"/>
    <numFmt numFmtId="175" formatCode="0000000"/>
    <numFmt numFmtId="176" formatCode="#,##0.0;[Red]\-#,##0.0;0.0"/>
    <numFmt numFmtId="177" formatCode="00000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Arial Cyr"/>
      <charset val="204"/>
    </font>
    <font>
      <b/>
      <sz val="8"/>
      <name val="Times New Roman"/>
      <family val="1"/>
    </font>
    <font>
      <sz val="6"/>
      <name val="Times New Roman"/>
      <family val="1"/>
      <charset val="204"/>
    </font>
    <font>
      <sz val="8"/>
      <name val="Times New Roman Cyr"/>
      <charset val="204"/>
    </font>
    <font>
      <sz val="8"/>
      <name val="Times New Roman"/>
      <family val="1"/>
    </font>
    <font>
      <b/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Times New Roman Cyr"/>
      <family val="1"/>
      <charset val="204"/>
    </font>
    <font>
      <b/>
      <sz val="7"/>
      <name val="Times New Roman"/>
      <family val="1"/>
      <charset val="204"/>
    </font>
    <font>
      <b/>
      <sz val="7"/>
      <name val="Times New Roman"/>
      <family val="1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7"/>
      <name val="Times New Roman Cyr"/>
      <family val="1"/>
      <charset val="204"/>
    </font>
    <font>
      <b/>
      <sz val="8"/>
      <name val="Times New Roman Cyr"/>
      <charset val="204"/>
    </font>
    <font>
      <sz val="8"/>
      <color rgb="FFFF0000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7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4" fillId="0" borderId="0"/>
    <xf numFmtId="0" fontId="4" fillId="0" borderId="0"/>
  </cellStyleXfs>
  <cellXfs count="366">
    <xf numFmtId="0" fontId="0" fillId="0" borderId="0" xfId="0"/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justify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165" fontId="12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top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0" borderId="3" xfId="0" applyFont="1" applyFill="1" applyBorder="1" applyAlignment="1">
      <alignment horizontal="justify" vertical="center" wrapText="1"/>
    </xf>
    <xf numFmtId="166" fontId="0" fillId="0" borderId="0" xfId="0" applyNumberFormat="1" applyFill="1"/>
    <xf numFmtId="0" fontId="1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167" fontId="0" fillId="0" borderId="0" xfId="0" applyNumberFormat="1" applyFill="1"/>
    <xf numFmtId="168" fontId="0" fillId="0" borderId="0" xfId="0" applyNumberFormat="1" applyFill="1"/>
    <xf numFmtId="164" fontId="0" fillId="0" borderId="0" xfId="0" applyNumberFormat="1" applyFill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69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wrapText="1"/>
    </xf>
    <xf numFmtId="170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0" fontId="14" fillId="0" borderId="0" xfId="0" applyFont="1" applyFill="1"/>
    <xf numFmtId="166" fontId="0" fillId="0" borderId="0" xfId="0" applyNumberFormat="1" applyFill="1" applyAlignment="1">
      <alignment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8" fillId="2" borderId="0" xfId="27" applyFont="1" applyFill="1"/>
    <xf numFmtId="0" fontId="18" fillId="2" borderId="0" xfId="27" applyFont="1" applyFill="1" applyAlignment="1">
      <alignment horizontal="center" vertical="center"/>
    </xf>
    <xf numFmtId="0" fontId="18" fillId="3" borderId="0" xfId="27" applyFont="1" applyFill="1"/>
    <xf numFmtId="0" fontId="18" fillId="4" borderId="0" xfId="27" applyFont="1" applyFill="1"/>
    <xf numFmtId="0" fontId="19" fillId="2" borderId="0" xfId="27" applyFont="1" applyFill="1" applyAlignment="1">
      <alignment horizontal="center" vertical="center"/>
    </xf>
    <xf numFmtId="0" fontId="20" fillId="2" borderId="0" xfId="27" applyFont="1" applyFill="1" applyAlignment="1">
      <alignment horizontal="center" vertical="center"/>
    </xf>
    <xf numFmtId="0" fontId="21" fillId="2" borderId="0" xfId="27" applyFont="1" applyFill="1" applyAlignment="1">
      <alignment horizontal="center" vertical="center"/>
    </xf>
    <xf numFmtId="0" fontId="9" fillId="2" borderId="0" xfId="27" applyFont="1" applyFill="1" applyAlignment="1">
      <alignment horizontal="center" vertical="center"/>
    </xf>
    <xf numFmtId="0" fontId="22" fillId="2" borderId="0" xfId="27" applyFont="1" applyFill="1"/>
    <xf numFmtId="168" fontId="18" fillId="2" borderId="0" xfId="27" applyNumberFormat="1" applyFont="1" applyFill="1"/>
    <xf numFmtId="168" fontId="18" fillId="2" borderId="0" xfId="27" applyNumberFormat="1" applyFont="1" applyFill="1" applyAlignment="1">
      <alignment horizontal="center" vertical="center"/>
    </xf>
    <xf numFmtId="168" fontId="23" fillId="2" borderId="0" xfId="27" applyNumberFormat="1" applyFont="1" applyFill="1" applyAlignment="1">
      <alignment horizontal="center" vertical="center"/>
    </xf>
    <xf numFmtId="0" fontId="18" fillId="2" borderId="3" xfId="27" applyFont="1" applyFill="1" applyBorder="1"/>
    <xf numFmtId="166" fontId="24" fillId="2" borderId="0" xfId="27" applyNumberFormat="1" applyFont="1" applyFill="1"/>
    <xf numFmtId="168" fontId="18" fillId="3" borderId="0" xfId="27" applyNumberFormat="1" applyFont="1" applyFill="1"/>
    <xf numFmtId="10" fontId="21" fillId="2" borderId="0" xfId="28" applyNumberFormat="1" applyFont="1" applyFill="1" applyAlignment="1">
      <alignment horizontal="center" vertical="center"/>
    </xf>
    <xf numFmtId="168" fontId="18" fillId="4" borderId="0" xfId="27" applyNumberFormat="1" applyFont="1" applyFill="1"/>
    <xf numFmtId="171" fontId="21" fillId="2" borderId="0" xfId="28" applyNumberFormat="1" applyFont="1" applyFill="1" applyAlignment="1">
      <alignment horizontal="center" vertical="center"/>
    </xf>
    <xf numFmtId="2" fontId="21" fillId="2" borderId="0" xfId="27" applyNumberFormat="1" applyFont="1" applyFill="1" applyAlignment="1">
      <alignment horizontal="center" vertical="center"/>
    </xf>
    <xf numFmtId="0" fontId="26" fillId="2" borderId="0" xfId="27" applyFont="1" applyFill="1"/>
    <xf numFmtId="2" fontId="9" fillId="2" borderId="0" xfId="27" applyNumberFormat="1" applyFont="1" applyFill="1" applyAlignment="1">
      <alignment horizontal="center" vertical="center"/>
    </xf>
    <xf numFmtId="166" fontId="21" fillId="2" borderId="0" xfId="27" applyNumberFormat="1" applyFont="1" applyFill="1" applyAlignment="1">
      <alignment horizontal="center" vertical="center"/>
    </xf>
    <xf numFmtId="0" fontId="18" fillId="2" borderId="4" xfId="27" applyFont="1" applyFill="1" applyBorder="1"/>
    <xf numFmtId="168" fontId="10" fillId="2" borderId="3" xfId="27" applyNumberFormat="1" applyFont="1" applyFill="1" applyBorder="1" applyAlignment="1">
      <alignment horizontal="center" vertical="center" wrapText="1"/>
    </xf>
    <xf numFmtId="0" fontId="18" fillId="4" borderId="0" xfId="27" applyFont="1" applyFill="1" applyBorder="1"/>
    <xf numFmtId="164" fontId="10" fillId="4" borderId="0" xfId="27" applyNumberFormat="1" applyFont="1" applyFill="1" applyBorder="1" applyAlignment="1">
      <alignment horizontal="center" vertical="center" wrapText="1"/>
    </xf>
    <xf numFmtId="164" fontId="10" fillId="2" borderId="2" xfId="27" applyNumberFormat="1" applyFont="1" applyFill="1" applyBorder="1" applyAlignment="1">
      <alignment horizontal="center" vertical="center" wrapText="1"/>
    </xf>
    <xf numFmtId="164" fontId="10" fillId="2" borderId="3" xfId="27" applyNumberFormat="1" applyFont="1" applyFill="1" applyBorder="1" applyAlignment="1">
      <alignment horizontal="center" vertical="center" wrapText="1"/>
    </xf>
    <xf numFmtId="172" fontId="9" fillId="2" borderId="0" xfId="27" applyNumberFormat="1" applyFont="1" applyFill="1" applyAlignment="1">
      <alignment horizontal="center" vertical="center"/>
    </xf>
    <xf numFmtId="0" fontId="24" fillId="2" borderId="0" xfId="27" applyFont="1" applyFill="1"/>
    <xf numFmtId="166" fontId="27" fillId="2" borderId="3" xfId="27" applyNumberFormat="1" applyFont="1" applyFill="1" applyBorder="1" applyAlignment="1">
      <alignment horizontal="center" vertical="center"/>
    </xf>
    <xf numFmtId="168" fontId="10" fillId="4" borderId="3" xfId="27" applyNumberFormat="1" applyFont="1" applyFill="1" applyBorder="1" applyAlignment="1">
      <alignment horizontal="center" vertical="center" wrapText="1"/>
    </xf>
    <xf numFmtId="9" fontId="10" fillId="2" borderId="3" xfId="26" applyFont="1" applyFill="1" applyBorder="1" applyAlignment="1">
      <alignment horizontal="center" vertical="center" wrapText="1"/>
    </xf>
    <xf numFmtId="49" fontId="28" fillId="2" borderId="4" xfId="27" applyNumberFormat="1" applyFont="1" applyFill="1" applyBorder="1" applyAlignment="1">
      <alignment horizontal="center" vertical="center" wrapText="1"/>
    </xf>
    <xf numFmtId="49" fontId="29" fillId="2" borderId="4" xfId="27" applyNumberFormat="1" applyFont="1" applyFill="1" applyBorder="1" applyAlignment="1">
      <alignment horizontal="center" vertical="center" wrapText="1"/>
    </xf>
    <xf numFmtId="0" fontId="29" fillId="2" borderId="3" xfId="27" applyFont="1" applyFill="1" applyBorder="1" applyAlignment="1">
      <alignment horizontal="left" vertical="center" wrapText="1"/>
    </xf>
    <xf numFmtId="166" fontId="19" fillId="2" borderId="3" xfId="27" applyNumberFormat="1" applyFont="1" applyFill="1" applyBorder="1" applyAlignment="1">
      <alignment horizontal="center" vertical="center"/>
    </xf>
    <xf numFmtId="0" fontId="19" fillId="2" borderId="3" xfId="27" applyFont="1" applyFill="1" applyBorder="1" applyAlignment="1">
      <alignment horizontal="center" vertical="center"/>
    </xf>
    <xf numFmtId="164" fontId="9" fillId="2" borderId="3" xfId="27" applyNumberFormat="1" applyFont="1" applyFill="1" applyBorder="1" applyAlignment="1">
      <alignment horizontal="center" vertical="center" wrapText="1"/>
    </xf>
    <xf numFmtId="164" fontId="9" fillId="4" borderId="3" xfId="27" applyNumberFormat="1" applyFont="1" applyFill="1" applyBorder="1" applyAlignment="1">
      <alignment horizontal="center" vertical="center" wrapText="1"/>
    </xf>
    <xf numFmtId="168" fontId="19" fillId="2" borderId="3" xfId="27" applyNumberFormat="1" applyFont="1" applyFill="1" applyBorder="1" applyAlignment="1">
      <alignment horizontal="center" vertical="center"/>
    </xf>
    <xf numFmtId="164" fontId="30" fillId="2" borderId="3" xfId="27" applyNumberFormat="1" applyFont="1" applyFill="1" applyBorder="1" applyAlignment="1">
      <alignment horizontal="center" vertical="center" wrapText="1"/>
    </xf>
    <xf numFmtId="171" fontId="26" fillId="2" borderId="0" xfId="28" applyNumberFormat="1" applyFont="1" applyFill="1"/>
    <xf numFmtId="166" fontId="18" fillId="2" borderId="0" xfId="27" applyNumberFormat="1" applyFont="1" applyFill="1"/>
    <xf numFmtId="171" fontId="9" fillId="2" borderId="3" xfId="28" applyNumberFormat="1" applyFont="1" applyFill="1" applyBorder="1" applyAlignment="1">
      <alignment horizontal="center" vertical="center" wrapText="1"/>
    </xf>
    <xf numFmtId="168" fontId="21" fillId="2" borderId="3" xfId="27" applyNumberFormat="1" applyFont="1" applyFill="1" applyBorder="1" applyAlignment="1">
      <alignment horizontal="center" vertical="center"/>
    </xf>
    <xf numFmtId="0" fontId="21" fillId="2" borderId="3" xfId="27" applyFont="1" applyFill="1" applyBorder="1" applyAlignment="1">
      <alignment horizontal="center" vertical="center"/>
    </xf>
    <xf numFmtId="171" fontId="18" fillId="2" borderId="3" xfId="27" applyNumberFormat="1" applyFont="1" applyFill="1" applyBorder="1"/>
    <xf numFmtId="9" fontId="9" fillId="2" borderId="3" xfId="28" applyFont="1" applyFill="1" applyBorder="1" applyAlignment="1">
      <alignment horizontal="center" vertical="center" wrapText="1"/>
    </xf>
    <xf numFmtId="164" fontId="9" fillId="2" borderId="3" xfId="23" applyNumberFormat="1" applyFont="1" applyFill="1" applyBorder="1" applyAlignment="1">
      <alignment horizontal="center" vertical="center" wrapText="1"/>
    </xf>
    <xf numFmtId="9" fontId="9" fillId="2" borderId="3" xfId="26" applyFont="1" applyFill="1" applyBorder="1" applyAlignment="1">
      <alignment horizontal="center" vertical="center" wrapText="1"/>
    </xf>
    <xf numFmtId="49" fontId="9" fillId="2" borderId="3" xfId="27" applyNumberFormat="1" applyFont="1" applyFill="1" applyBorder="1" applyAlignment="1">
      <alignment horizontal="center" vertical="center" wrapText="1"/>
    </xf>
    <xf numFmtId="2" fontId="9" fillId="2" borderId="3" xfId="27" applyNumberFormat="1" applyFont="1" applyFill="1" applyBorder="1" applyAlignment="1">
      <alignment horizontal="center" vertical="center" wrapText="1"/>
    </xf>
    <xf numFmtId="173" fontId="3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1" fillId="2" borderId="3" xfId="1" applyNumberFormat="1" applyFont="1" applyFill="1" applyBorder="1" applyAlignment="1" applyProtection="1">
      <alignment horizontal="left" vertical="center" wrapText="1"/>
      <protection hidden="1"/>
    </xf>
    <xf numFmtId="168" fontId="9" fillId="2" borderId="3" xfId="27" applyNumberFormat="1" applyFont="1" applyFill="1" applyBorder="1" applyAlignment="1">
      <alignment horizontal="center" vertical="center" wrapText="1"/>
    </xf>
    <xf numFmtId="168" fontId="9" fillId="4" borderId="3" xfId="27" applyNumberFormat="1" applyFont="1" applyFill="1" applyBorder="1" applyAlignment="1">
      <alignment horizontal="center" vertical="center" wrapText="1"/>
    </xf>
    <xf numFmtId="0" fontId="31" fillId="2" borderId="1" xfId="1" applyNumberFormat="1" applyFont="1" applyFill="1" applyBorder="1" applyAlignment="1" applyProtection="1">
      <alignment horizontal="left" vertical="center" wrapText="1"/>
      <protection hidden="1"/>
    </xf>
    <xf numFmtId="164" fontId="21" fillId="2" borderId="3" xfId="27" applyNumberFormat="1" applyFont="1" applyFill="1" applyBorder="1" applyAlignment="1">
      <alignment horizontal="center" vertical="center"/>
    </xf>
    <xf numFmtId="49" fontId="32" fillId="2" borderId="3" xfId="27" applyNumberFormat="1" applyFont="1" applyFill="1" applyBorder="1" applyAlignment="1">
      <alignment horizontal="center" vertical="center" wrapText="1"/>
    </xf>
    <xf numFmtId="0" fontId="32" fillId="2" borderId="1" xfId="27" applyFont="1" applyFill="1" applyBorder="1" applyAlignment="1">
      <alignment horizontal="left" vertical="center" wrapText="1"/>
    </xf>
    <xf numFmtId="0" fontId="19" fillId="4" borderId="3" xfId="27" applyFont="1" applyFill="1" applyBorder="1" applyAlignment="1">
      <alignment horizontal="center" vertical="center"/>
    </xf>
    <xf numFmtId="168" fontId="19" fillId="4" borderId="3" xfId="27" applyNumberFormat="1" applyFont="1" applyFill="1" applyBorder="1" applyAlignment="1">
      <alignment horizontal="center" vertical="center"/>
    </xf>
    <xf numFmtId="171" fontId="26" fillId="4" borderId="0" xfId="28" applyNumberFormat="1" applyFont="1" applyFill="1"/>
    <xf numFmtId="166" fontId="18" fillId="4" borderId="0" xfId="27" applyNumberFormat="1" applyFont="1" applyFill="1"/>
    <xf numFmtId="171" fontId="9" fillId="4" borderId="3" xfId="28" applyNumberFormat="1" applyFont="1" applyFill="1" applyBorder="1" applyAlignment="1">
      <alignment horizontal="center" vertical="center" wrapText="1"/>
    </xf>
    <xf numFmtId="168" fontId="21" fillId="4" borderId="3" xfId="27" applyNumberFormat="1" applyFont="1" applyFill="1" applyBorder="1" applyAlignment="1">
      <alignment horizontal="center" vertical="center"/>
    </xf>
    <xf numFmtId="0" fontId="21" fillId="4" borderId="3" xfId="27" applyFont="1" applyFill="1" applyBorder="1" applyAlignment="1">
      <alignment horizontal="center" vertical="center"/>
    </xf>
    <xf numFmtId="171" fontId="18" fillId="4" borderId="3" xfId="27" applyNumberFormat="1" applyFont="1" applyFill="1" applyBorder="1"/>
    <xf numFmtId="9" fontId="9" fillId="4" borderId="3" xfId="28" applyFont="1" applyFill="1" applyBorder="1" applyAlignment="1">
      <alignment horizontal="center" vertical="center" wrapText="1"/>
    </xf>
    <xf numFmtId="164" fontId="21" fillId="4" borderId="3" xfId="27" applyNumberFormat="1" applyFont="1" applyFill="1" applyBorder="1" applyAlignment="1">
      <alignment horizontal="center" vertical="center"/>
    </xf>
    <xf numFmtId="164" fontId="9" fillId="4" borderId="3" xfId="23" applyNumberFormat="1" applyFont="1" applyFill="1" applyBorder="1" applyAlignment="1">
      <alignment horizontal="center" vertical="center" wrapText="1"/>
    </xf>
    <xf numFmtId="164" fontId="10" fillId="4" borderId="3" xfId="27" applyNumberFormat="1" applyFont="1" applyFill="1" applyBorder="1" applyAlignment="1">
      <alignment horizontal="center" vertical="center" wrapText="1"/>
    </xf>
    <xf numFmtId="9" fontId="9" fillId="4" borderId="3" xfId="26" applyFont="1" applyFill="1" applyBorder="1" applyAlignment="1">
      <alignment horizontal="center" vertical="center" wrapText="1"/>
    </xf>
    <xf numFmtId="49" fontId="9" fillId="4" borderId="3" xfId="27" applyNumberFormat="1" applyFont="1" applyFill="1" applyBorder="1" applyAlignment="1">
      <alignment horizontal="center" vertical="center" wrapText="1"/>
    </xf>
    <xf numFmtId="49" fontId="32" fillId="4" borderId="3" xfId="27" applyNumberFormat="1" applyFont="1" applyFill="1" applyBorder="1" applyAlignment="1">
      <alignment horizontal="center" vertical="center" wrapText="1"/>
    </xf>
    <xf numFmtId="0" fontId="32" fillId="4" borderId="3" xfId="27" applyFont="1" applyFill="1" applyBorder="1" applyAlignment="1">
      <alignment horizontal="left" vertical="center" wrapText="1"/>
    </xf>
    <xf numFmtId="49" fontId="29" fillId="2" borderId="3" xfId="27" applyNumberFormat="1" applyFont="1" applyFill="1" applyBorder="1" applyAlignment="1">
      <alignment horizontal="center" vertical="center" wrapText="1"/>
    </xf>
    <xf numFmtId="0" fontId="21" fillId="2" borderId="3" xfId="27" applyFont="1" applyFill="1" applyBorder="1" applyAlignment="1">
      <alignment horizontal="left" vertical="center" wrapText="1"/>
    </xf>
    <xf numFmtId="2" fontId="10" fillId="2" borderId="3" xfId="27" applyNumberFormat="1" applyFont="1" applyFill="1" applyBorder="1" applyAlignment="1">
      <alignment horizontal="center" vertical="center" wrapText="1"/>
    </xf>
    <xf numFmtId="49" fontId="10" fillId="2" borderId="3" xfId="27" applyNumberFormat="1" applyFont="1" applyFill="1" applyBorder="1" applyAlignment="1">
      <alignment horizontal="center" vertical="center" wrapText="1"/>
    </xf>
    <xf numFmtId="0" fontId="33" fillId="2" borderId="3" xfId="27" applyFont="1" applyFill="1" applyBorder="1" applyAlignment="1">
      <alignment horizontal="left" vertical="center" wrapText="1"/>
    </xf>
    <xf numFmtId="0" fontId="32" fillId="2" borderId="3" xfId="27" applyFont="1" applyFill="1" applyBorder="1" applyAlignment="1">
      <alignment horizontal="left" vertical="center" wrapText="1"/>
    </xf>
    <xf numFmtId="164" fontId="19" fillId="2" borderId="3" xfId="27" applyNumberFormat="1" applyFont="1" applyFill="1" applyBorder="1" applyAlignment="1">
      <alignment horizontal="center" vertical="center"/>
    </xf>
    <xf numFmtId="164" fontId="30" fillId="4" borderId="3" xfId="27" applyNumberFormat="1" applyFont="1" applyFill="1" applyBorder="1" applyAlignment="1">
      <alignment horizontal="center" vertical="center" wrapText="1"/>
    </xf>
    <xf numFmtId="173" fontId="9" fillId="4" borderId="4" xfId="3" applyNumberFormat="1" applyFont="1" applyFill="1" applyBorder="1" applyAlignment="1" applyProtection="1">
      <alignment horizontal="center" vertical="center"/>
      <protection hidden="1"/>
    </xf>
    <xf numFmtId="0" fontId="9" fillId="4" borderId="4" xfId="3" applyNumberFormat="1" applyFont="1" applyFill="1" applyBorder="1" applyAlignment="1" applyProtection="1">
      <alignment vertical="top" wrapText="1"/>
      <protection hidden="1"/>
    </xf>
    <xf numFmtId="164" fontId="27" fillId="2" borderId="3" xfId="27" applyNumberFormat="1" applyFont="1" applyFill="1" applyBorder="1" applyAlignment="1">
      <alignment horizontal="center" vertical="center"/>
    </xf>
    <xf numFmtId="168" fontId="27" fillId="4" borderId="3" xfId="27" applyNumberFormat="1" applyFont="1" applyFill="1" applyBorder="1" applyAlignment="1">
      <alignment horizontal="center" vertical="center"/>
    </xf>
    <xf numFmtId="0" fontId="27" fillId="4" borderId="3" xfId="27" applyFont="1" applyFill="1" applyBorder="1" applyAlignment="1">
      <alignment horizontal="center" vertical="center"/>
    </xf>
    <xf numFmtId="164" fontId="34" fillId="4" borderId="3" xfId="27" applyNumberFormat="1" applyFont="1" applyFill="1" applyBorder="1" applyAlignment="1">
      <alignment horizontal="center" vertical="center" wrapText="1"/>
    </xf>
    <xf numFmtId="171" fontId="35" fillId="4" borderId="0" xfId="28" applyNumberFormat="1" applyFont="1" applyFill="1"/>
    <xf numFmtId="166" fontId="24" fillId="4" borderId="0" xfId="27" applyNumberFormat="1" applyFont="1" applyFill="1"/>
    <xf numFmtId="171" fontId="10" fillId="4" borderId="3" xfId="28" applyNumberFormat="1" applyFont="1" applyFill="1" applyBorder="1" applyAlignment="1">
      <alignment horizontal="center" vertical="center" wrapText="1"/>
    </xf>
    <xf numFmtId="168" fontId="33" fillId="4" borderId="3" xfId="27" applyNumberFormat="1" applyFont="1" applyFill="1" applyBorder="1" applyAlignment="1">
      <alignment horizontal="center" vertical="center"/>
    </xf>
    <xf numFmtId="0" fontId="33" fillId="4" borderId="3" xfId="27" applyFont="1" applyFill="1" applyBorder="1" applyAlignment="1">
      <alignment horizontal="center" vertical="center"/>
    </xf>
    <xf numFmtId="171" fontId="24" fillId="4" borderId="3" xfId="27" applyNumberFormat="1" applyFont="1" applyFill="1" applyBorder="1"/>
    <xf numFmtId="9" fontId="10" fillId="4" borderId="3" xfId="28" applyFont="1" applyFill="1" applyBorder="1" applyAlignment="1">
      <alignment horizontal="center" vertical="center" wrapText="1"/>
    </xf>
    <xf numFmtId="164" fontId="33" fillId="4" borderId="3" xfId="27" applyNumberFormat="1" applyFont="1" applyFill="1" applyBorder="1" applyAlignment="1">
      <alignment horizontal="center" vertical="center"/>
    </xf>
    <xf numFmtId="164" fontId="10" fillId="4" borderId="3" xfId="23" applyNumberFormat="1" applyFont="1" applyFill="1" applyBorder="1" applyAlignment="1">
      <alignment horizontal="center" vertical="center" wrapText="1"/>
    </xf>
    <xf numFmtId="9" fontId="10" fillId="4" borderId="3" xfId="26" applyFont="1" applyFill="1" applyBorder="1" applyAlignment="1">
      <alignment horizontal="center" vertical="center" wrapText="1"/>
    </xf>
    <xf numFmtId="49" fontId="10" fillId="4" borderId="3" xfId="27" applyNumberFormat="1" applyFont="1" applyFill="1" applyBorder="1" applyAlignment="1">
      <alignment horizontal="center" vertical="center" wrapText="1"/>
    </xf>
    <xf numFmtId="173" fontId="10" fillId="4" borderId="6" xfId="3" applyNumberFormat="1" applyFont="1" applyFill="1" applyBorder="1" applyAlignment="1" applyProtection="1">
      <alignment horizontal="center" vertical="center"/>
      <protection hidden="1"/>
    </xf>
    <xf numFmtId="0" fontId="10" fillId="4" borderId="7" xfId="3" applyNumberFormat="1" applyFont="1" applyFill="1" applyBorder="1" applyAlignment="1" applyProtection="1">
      <alignment vertical="top" wrapText="1"/>
      <protection hidden="1"/>
    </xf>
    <xf numFmtId="0" fontId="36" fillId="2" borderId="3" xfId="29" applyNumberFormat="1" applyFont="1" applyFill="1" applyBorder="1" applyAlignment="1" applyProtection="1">
      <alignment horizontal="left" vertical="center" wrapText="1"/>
      <protection hidden="1"/>
    </xf>
    <xf numFmtId="0" fontId="9" fillId="2" borderId="3" xfId="27" applyFont="1" applyFill="1" applyBorder="1" applyAlignment="1">
      <alignment horizontal="left" vertical="center" wrapText="1"/>
    </xf>
    <xf numFmtId="0" fontId="10" fillId="2" borderId="3" xfId="27" applyFont="1" applyFill="1" applyBorder="1" applyAlignment="1">
      <alignment horizontal="left" vertical="center" wrapText="1"/>
    </xf>
    <xf numFmtId="0" fontId="9" fillId="2" borderId="3" xfId="27" applyFont="1" applyFill="1" applyBorder="1"/>
    <xf numFmtId="168" fontId="10" fillId="2" borderId="2" xfId="27" applyNumberFormat="1" applyFont="1" applyFill="1" applyBorder="1" applyAlignment="1">
      <alignment horizontal="center" vertical="center" wrapText="1"/>
    </xf>
    <xf numFmtId="0" fontId="23" fillId="2" borderId="0" xfId="27" applyFont="1" applyFill="1"/>
    <xf numFmtId="164" fontId="37" fillId="2" borderId="3" xfId="27" applyNumberFormat="1" applyFont="1" applyFill="1" applyBorder="1" applyAlignment="1">
      <alignment horizontal="center" vertical="center" wrapText="1"/>
    </xf>
    <xf numFmtId="164" fontId="37" fillId="4" borderId="3" xfId="27" applyNumberFormat="1" applyFont="1" applyFill="1" applyBorder="1" applyAlignment="1">
      <alignment horizontal="center" vertical="center" wrapText="1"/>
    </xf>
    <xf numFmtId="164" fontId="37" fillId="2" borderId="2" xfId="27" applyNumberFormat="1" applyFont="1" applyFill="1" applyBorder="1" applyAlignment="1">
      <alignment horizontal="center" vertical="center" wrapText="1"/>
    </xf>
    <xf numFmtId="9" fontId="37" fillId="2" borderId="3" xfId="26" applyFont="1" applyFill="1" applyBorder="1" applyAlignment="1">
      <alignment horizontal="center" vertical="center" wrapText="1"/>
    </xf>
    <xf numFmtId="168" fontId="37" fillId="2" borderId="3" xfId="27" applyNumberFormat="1" applyFont="1" applyFill="1" applyBorder="1" applyAlignment="1">
      <alignment horizontal="center" vertical="center" wrapText="1"/>
    </xf>
    <xf numFmtId="49" fontId="38" fillId="2" borderId="3" xfId="27" applyNumberFormat="1" applyFont="1" applyFill="1" applyBorder="1" applyAlignment="1">
      <alignment horizontal="center" vertical="center" wrapText="1"/>
    </xf>
    <xf numFmtId="0" fontId="39" fillId="2" borderId="0" xfId="27" applyFont="1" applyFill="1"/>
    <xf numFmtId="0" fontId="40" fillId="4" borderId="3" xfId="29" applyNumberFormat="1" applyFont="1" applyFill="1" applyBorder="1" applyAlignment="1" applyProtection="1">
      <alignment horizontal="center" vertical="center" wrapText="1"/>
      <protection hidden="1"/>
    </xf>
    <xf numFmtId="0" fontId="40" fillId="0" borderId="3" xfId="29" applyNumberFormat="1" applyFont="1" applyFill="1" applyBorder="1" applyAlignment="1" applyProtection="1">
      <alignment horizontal="center" vertical="center" wrapText="1"/>
      <protection hidden="1"/>
    </xf>
    <xf numFmtId="0" fontId="40" fillId="4" borderId="3" xfId="27" applyFont="1" applyFill="1" applyBorder="1" applyAlignment="1">
      <alignment horizontal="center" vertical="center" wrapText="1"/>
    </xf>
    <xf numFmtId="0" fontId="40" fillId="3" borderId="3" xfId="27" applyFont="1" applyFill="1" applyBorder="1" applyAlignment="1">
      <alignment horizontal="center" vertical="center" wrapText="1"/>
    </xf>
    <xf numFmtId="0" fontId="41" fillId="4" borderId="3" xfId="27" applyFont="1" applyFill="1" applyBorder="1" applyAlignment="1">
      <alignment horizontal="center" vertical="center" wrapText="1"/>
    </xf>
    <xf numFmtId="0" fontId="42" fillId="2" borderId="0" xfId="27" applyFont="1" applyFill="1" applyAlignment="1">
      <alignment wrapText="1"/>
    </xf>
    <xf numFmtId="0" fontId="43" fillId="2" borderId="3" xfId="0" applyFont="1" applyFill="1" applyBorder="1" applyAlignment="1">
      <alignment horizontal="center" vertical="center" wrapText="1"/>
    </xf>
    <xf numFmtId="0" fontId="40" fillId="2" borderId="3" xfId="27" applyFont="1" applyFill="1" applyBorder="1" applyAlignment="1">
      <alignment horizontal="center" vertical="center" wrapText="1"/>
    </xf>
    <xf numFmtId="2" fontId="40" fillId="2" borderId="3" xfId="27" applyNumberFormat="1" applyFont="1" applyFill="1" applyBorder="1" applyAlignment="1">
      <alignment horizontal="center" vertical="center" wrapText="1"/>
    </xf>
    <xf numFmtId="0" fontId="39" fillId="2" borderId="3" xfId="27" applyFont="1" applyFill="1" applyBorder="1"/>
    <xf numFmtId="9" fontId="40" fillId="2" borderId="3" xfId="27" applyNumberFormat="1" applyFont="1" applyFill="1" applyBorder="1" applyAlignment="1">
      <alignment horizontal="center" vertical="center" wrapText="1"/>
    </xf>
    <xf numFmtId="0" fontId="43" fillId="2" borderId="3" xfId="27" applyFont="1" applyFill="1" applyBorder="1" applyAlignment="1">
      <alignment horizontal="center" vertical="center" wrapText="1"/>
    </xf>
    <xf numFmtId="49" fontId="40" fillId="2" borderId="3" xfId="23" applyNumberFormat="1" applyFont="1" applyFill="1" applyBorder="1" applyAlignment="1">
      <alignment horizontal="center" vertical="center" wrapText="1"/>
    </xf>
    <xf numFmtId="0" fontId="40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0" fillId="2" borderId="1" xfId="23" applyFont="1" applyFill="1" applyBorder="1" applyAlignment="1">
      <alignment horizontal="center" vertical="center" wrapText="1"/>
    </xf>
    <xf numFmtId="0" fontId="44" fillId="2" borderId="3" xfId="23" applyFont="1" applyFill="1" applyBorder="1" applyAlignment="1">
      <alignment horizontal="center" vertical="center" wrapText="1"/>
    </xf>
    <xf numFmtId="0" fontId="9" fillId="2" borderId="0" xfId="23" applyFont="1" applyFill="1" applyAlignment="1">
      <alignment horizontal="center" vertical="center"/>
    </xf>
    <xf numFmtId="0" fontId="10" fillId="2" borderId="0" xfId="23" applyFont="1" applyFill="1" applyBorder="1" applyAlignment="1">
      <alignment horizontal="center" vertical="center"/>
    </xf>
    <xf numFmtId="0" fontId="29" fillId="2" borderId="0" xfId="23" applyFont="1" applyFill="1" applyBorder="1" applyAlignment="1">
      <alignment horizontal="center"/>
    </xf>
    <xf numFmtId="0" fontId="29" fillId="2" borderId="0" xfId="23" applyFont="1" applyFill="1" applyAlignment="1">
      <alignment horizontal="center" vertical="center"/>
    </xf>
    <xf numFmtId="0" fontId="9" fillId="2" borderId="0" xfId="23" applyFont="1" applyFill="1" applyAlignment="1">
      <alignment horizontal="right"/>
    </xf>
    <xf numFmtId="0" fontId="36" fillId="0" borderId="0" xfId="29" applyFont="1" applyAlignment="1">
      <alignment vertical="top"/>
    </xf>
    <xf numFmtId="0" fontId="36" fillId="0" borderId="0" xfId="29" applyFont="1" applyAlignment="1">
      <alignment horizontal="center" vertical="center"/>
    </xf>
    <xf numFmtId="0" fontId="5" fillId="0" borderId="0" xfId="29" applyNumberFormat="1" applyFont="1" applyFill="1" applyAlignment="1" applyProtection="1">
      <alignment horizontal="right" vertical="center"/>
      <protection hidden="1"/>
    </xf>
    <xf numFmtId="0" fontId="3" fillId="0" borderId="0" xfId="23" applyAlignment="1">
      <alignment horizontal="center" vertical="center"/>
    </xf>
    <xf numFmtId="0" fontId="3" fillId="0" borderId="0" xfId="23"/>
    <xf numFmtId="0" fontId="45" fillId="0" borderId="0" xfId="29" applyNumberFormat="1" applyFont="1" applyFill="1" applyAlignment="1" applyProtection="1">
      <alignment vertical="top"/>
      <protection hidden="1"/>
    </xf>
    <xf numFmtId="0" fontId="45" fillId="0" borderId="0" xfId="29" applyNumberFormat="1" applyFont="1" applyFill="1" applyAlignment="1" applyProtection="1">
      <alignment horizontal="center" vertical="center"/>
      <protection hidden="1"/>
    </xf>
    <xf numFmtId="0" fontId="46" fillId="0" borderId="0" xfId="29" applyNumberFormat="1" applyFont="1" applyFill="1" applyAlignment="1" applyProtection="1">
      <alignment horizontal="center" vertical="center"/>
      <protection hidden="1"/>
    </xf>
    <xf numFmtId="0" fontId="5" fillId="0" borderId="0" xfId="29" applyFont="1" applyAlignment="1">
      <alignment horizontal="center" vertical="center"/>
    </xf>
    <xf numFmtId="0" fontId="46" fillId="0" borderId="0" xfId="29" applyNumberFormat="1" applyFont="1" applyFill="1" applyAlignment="1" applyProtection="1">
      <alignment horizontal="center" wrapText="1"/>
      <protection hidden="1"/>
    </xf>
    <xf numFmtId="0" fontId="45" fillId="0" borderId="0" xfId="29" applyNumberFormat="1" applyFont="1" applyFill="1" applyAlignment="1" applyProtection="1">
      <alignment horizontal="center" vertical="top"/>
      <protection hidden="1"/>
    </xf>
    <xf numFmtId="0" fontId="47" fillId="0" borderId="0" xfId="29" applyNumberFormat="1" applyFont="1" applyFill="1" applyAlignment="1" applyProtection="1">
      <alignment horizontal="center" vertical="center"/>
      <protection hidden="1"/>
    </xf>
    <xf numFmtId="0" fontId="5" fillId="0" borderId="0" xfId="29" applyFont="1" applyAlignment="1">
      <alignment horizontal="right" vertical="center"/>
    </xf>
    <xf numFmtId="0" fontId="45" fillId="0" borderId="0" xfId="29" applyNumberFormat="1" applyFont="1" applyFill="1" applyAlignment="1" applyProtection="1">
      <alignment horizontal="centerContinuous" vertical="top"/>
      <protection hidden="1"/>
    </xf>
    <xf numFmtId="0" fontId="48" fillId="0" borderId="0" xfId="29" applyNumberFormat="1" applyFont="1" applyFill="1" applyAlignment="1" applyProtection="1">
      <alignment horizontal="center" vertical="center"/>
      <protection hidden="1"/>
    </xf>
    <xf numFmtId="0" fontId="12" fillId="0" borderId="3" xfId="29" applyNumberFormat="1" applyFont="1" applyFill="1" applyBorder="1" applyAlignment="1" applyProtection="1">
      <alignment horizontal="center" vertical="top"/>
      <protection hidden="1"/>
    </xf>
    <xf numFmtId="0" fontId="12" fillId="0" borderId="3" xfId="29" applyNumberFormat="1" applyFont="1" applyFill="1" applyBorder="1" applyAlignment="1" applyProtection="1">
      <alignment horizontal="center" vertical="center"/>
      <protection hidden="1"/>
    </xf>
    <xf numFmtId="0" fontId="12" fillId="0" borderId="3" xfId="29" applyNumberFormat="1" applyFont="1" applyFill="1" applyBorder="1" applyAlignment="1" applyProtection="1">
      <alignment horizontal="center" vertical="center" textRotation="255" wrapText="1"/>
      <protection hidden="1"/>
    </xf>
    <xf numFmtId="0" fontId="12" fillId="0" borderId="3" xfId="29" applyNumberFormat="1" applyFont="1" applyFill="1" applyBorder="1" applyAlignment="1" applyProtection="1">
      <alignment horizontal="center" vertical="center" wrapText="1"/>
      <protection hidden="1"/>
    </xf>
    <xf numFmtId="0" fontId="12" fillId="4" borderId="3" xfId="29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3" applyFont="1" applyAlignment="1">
      <alignment horizontal="center" vertical="center"/>
    </xf>
    <xf numFmtId="0" fontId="49" fillId="0" borderId="0" xfId="23" applyFont="1"/>
    <xf numFmtId="0" fontId="10" fillId="0" borderId="1" xfId="29" applyNumberFormat="1" applyFont="1" applyFill="1" applyBorder="1" applyAlignment="1" applyProtection="1">
      <alignment vertical="top" wrapText="1"/>
      <protection hidden="1"/>
    </xf>
    <xf numFmtId="174" fontId="10" fillId="0" borderId="1" xfId="29" applyNumberFormat="1" applyFont="1" applyFill="1" applyBorder="1" applyAlignment="1" applyProtection="1">
      <alignment horizontal="center" vertical="center" wrapText="1"/>
      <protection hidden="1"/>
    </xf>
    <xf numFmtId="3" fontId="10" fillId="0" borderId="1" xfId="29" applyNumberFormat="1" applyFont="1" applyFill="1" applyBorder="1" applyAlignment="1" applyProtection="1">
      <alignment horizontal="center" vertical="center"/>
      <protection hidden="1"/>
    </xf>
    <xf numFmtId="166" fontId="8" fillId="0" borderId="1" xfId="29" applyNumberFormat="1" applyFont="1" applyFill="1" applyBorder="1" applyAlignment="1" applyProtection="1">
      <alignment horizontal="center" vertical="center"/>
      <protection hidden="1"/>
    </xf>
    <xf numFmtId="0" fontId="10" fillId="5" borderId="8" xfId="29" applyNumberFormat="1" applyFont="1" applyFill="1" applyBorder="1" applyAlignment="1" applyProtection="1">
      <alignment vertical="top" wrapText="1"/>
      <protection hidden="1"/>
    </xf>
    <xf numFmtId="173" fontId="10" fillId="5" borderId="9" xfId="29" applyNumberFormat="1" applyFont="1" applyFill="1" applyBorder="1" applyAlignment="1" applyProtection="1">
      <alignment horizontal="center" vertical="center" wrapText="1"/>
      <protection hidden="1"/>
    </xf>
    <xf numFmtId="173" fontId="10" fillId="5" borderId="9" xfId="29" applyNumberFormat="1" applyFont="1" applyFill="1" applyBorder="1" applyAlignment="1" applyProtection="1">
      <alignment horizontal="center" vertical="center"/>
      <protection hidden="1"/>
    </xf>
    <xf numFmtId="175" fontId="10" fillId="5" borderId="9" xfId="29" applyNumberFormat="1" applyFont="1" applyFill="1" applyBorder="1" applyAlignment="1" applyProtection="1">
      <alignment horizontal="center" vertical="center"/>
      <protection hidden="1"/>
    </xf>
    <xf numFmtId="174" fontId="10" fillId="5" borderId="9" xfId="29" applyNumberFormat="1" applyFont="1" applyFill="1" applyBorder="1" applyAlignment="1" applyProtection="1">
      <alignment horizontal="center" vertical="center" wrapText="1"/>
      <protection hidden="1"/>
    </xf>
    <xf numFmtId="3" fontId="10" fillId="5" borderId="9" xfId="29" applyNumberFormat="1" applyFont="1" applyFill="1" applyBorder="1" applyAlignment="1" applyProtection="1">
      <alignment horizontal="center" vertical="center"/>
      <protection hidden="1"/>
    </xf>
    <xf numFmtId="166" fontId="8" fillId="5" borderId="9" xfId="29" applyNumberFormat="1" applyFont="1" applyFill="1" applyBorder="1" applyAlignment="1" applyProtection="1">
      <alignment horizontal="center" vertical="center"/>
      <protection hidden="1"/>
    </xf>
    <xf numFmtId="0" fontId="10" fillId="3" borderId="4" xfId="29" applyNumberFormat="1" applyFont="1" applyFill="1" applyBorder="1" applyAlignment="1" applyProtection="1">
      <alignment vertical="top" wrapText="1"/>
      <protection hidden="1"/>
    </xf>
    <xf numFmtId="173" fontId="10" fillId="3" borderId="4" xfId="29" applyNumberFormat="1" applyFont="1" applyFill="1" applyBorder="1" applyAlignment="1" applyProtection="1">
      <alignment horizontal="center" vertical="center" wrapText="1"/>
      <protection hidden="1"/>
    </xf>
    <xf numFmtId="173" fontId="10" fillId="3" borderId="4" xfId="29" applyNumberFormat="1" applyFont="1" applyFill="1" applyBorder="1" applyAlignment="1" applyProtection="1">
      <alignment horizontal="center" vertical="center"/>
      <protection hidden="1"/>
    </xf>
    <xf numFmtId="175" fontId="10" fillId="3" borderId="4" xfId="29" applyNumberFormat="1" applyFont="1" applyFill="1" applyBorder="1" applyAlignment="1" applyProtection="1">
      <alignment horizontal="center" vertical="center"/>
      <protection hidden="1"/>
    </xf>
    <xf numFmtId="174" fontId="10" fillId="3" borderId="4" xfId="29" applyNumberFormat="1" applyFont="1" applyFill="1" applyBorder="1" applyAlignment="1" applyProtection="1">
      <alignment horizontal="center" vertical="center" wrapText="1"/>
      <protection hidden="1"/>
    </xf>
    <xf numFmtId="3" fontId="10" fillId="3" borderId="4" xfId="29" applyNumberFormat="1" applyFont="1" applyFill="1" applyBorder="1" applyAlignment="1" applyProtection="1">
      <alignment horizontal="center" vertical="center"/>
      <protection hidden="1"/>
    </xf>
    <xf numFmtId="166" fontId="8" fillId="3" borderId="4" xfId="29" applyNumberFormat="1" applyFont="1" applyFill="1" applyBorder="1" applyAlignment="1" applyProtection="1">
      <alignment horizontal="center" vertical="center"/>
      <protection hidden="1"/>
    </xf>
    <xf numFmtId="0" fontId="9" fillId="0" borderId="3" xfId="29" applyNumberFormat="1" applyFont="1" applyFill="1" applyBorder="1" applyAlignment="1" applyProtection="1">
      <alignment vertical="top" wrapText="1"/>
      <protection hidden="1"/>
    </xf>
    <xf numFmtId="173" fontId="9" fillId="0" borderId="3" xfId="29" applyNumberFormat="1" applyFont="1" applyFill="1" applyBorder="1" applyAlignment="1" applyProtection="1">
      <alignment horizontal="center" vertical="center" wrapText="1"/>
      <protection hidden="1"/>
    </xf>
    <xf numFmtId="173" fontId="9" fillId="0" borderId="3" xfId="29" applyNumberFormat="1" applyFont="1" applyFill="1" applyBorder="1" applyAlignment="1" applyProtection="1">
      <alignment horizontal="center" vertical="center"/>
      <protection hidden="1"/>
    </xf>
    <xf numFmtId="175" fontId="9" fillId="0" borderId="3" xfId="29" applyNumberFormat="1" applyFont="1" applyFill="1" applyBorder="1" applyAlignment="1" applyProtection="1">
      <alignment horizontal="center" vertical="center"/>
      <protection hidden="1"/>
    </xf>
    <xf numFmtId="174" fontId="9" fillId="0" borderId="3" xfId="29" applyNumberFormat="1" applyFont="1" applyFill="1" applyBorder="1" applyAlignment="1" applyProtection="1">
      <alignment horizontal="center" vertical="center" wrapText="1"/>
      <protection hidden="1"/>
    </xf>
    <xf numFmtId="3" fontId="9" fillId="0" borderId="3" xfId="29" applyNumberFormat="1" applyFont="1" applyFill="1" applyBorder="1" applyAlignment="1" applyProtection="1">
      <alignment horizontal="center" vertical="center"/>
      <protection hidden="1"/>
    </xf>
    <xf numFmtId="166" fontId="11" fillId="0" borderId="3" xfId="29" applyNumberFormat="1" applyFont="1" applyFill="1" applyBorder="1" applyAlignment="1" applyProtection="1">
      <alignment horizontal="center" vertical="center"/>
      <protection hidden="1"/>
    </xf>
    <xf numFmtId="0" fontId="9" fillId="6" borderId="3" xfId="29" applyNumberFormat="1" applyFont="1" applyFill="1" applyBorder="1" applyAlignment="1" applyProtection="1">
      <alignment vertical="top" wrapText="1"/>
      <protection hidden="1"/>
    </xf>
    <xf numFmtId="173" fontId="9" fillId="6" borderId="3" xfId="29" applyNumberFormat="1" applyFont="1" applyFill="1" applyBorder="1" applyAlignment="1" applyProtection="1">
      <alignment horizontal="center" vertical="center" wrapText="1"/>
      <protection hidden="1"/>
    </xf>
    <xf numFmtId="173" fontId="9" fillId="6" borderId="3" xfId="29" applyNumberFormat="1" applyFont="1" applyFill="1" applyBorder="1" applyAlignment="1" applyProtection="1">
      <alignment horizontal="center" vertical="center"/>
      <protection hidden="1"/>
    </xf>
    <xf numFmtId="175" fontId="9" fillId="6" borderId="3" xfId="29" applyNumberFormat="1" applyFont="1" applyFill="1" applyBorder="1" applyAlignment="1" applyProtection="1">
      <alignment horizontal="center" vertical="center"/>
      <protection hidden="1"/>
    </xf>
    <xf numFmtId="174" fontId="9" fillId="6" borderId="3" xfId="29" applyNumberFormat="1" applyFont="1" applyFill="1" applyBorder="1" applyAlignment="1" applyProtection="1">
      <alignment horizontal="center" vertical="center" wrapText="1"/>
      <protection hidden="1"/>
    </xf>
    <xf numFmtId="3" fontId="9" fillId="6" borderId="3" xfId="29" applyNumberFormat="1" applyFont="1" applyFill="1" applyBorder="1" applyAlignment="1" applyProtection="1">
      <alignment horizontal="center" vertical="center"/>
      <protection hidden="1"/>
    </xf>
    <xf numFmtId="166" fontId="11" fillId="6" borderId="3" xfId="29" applyNumberFormat="1" applyFont="1" applyFill="1" applyBorder="1" applyAlignment="1" applyProtection="1">
      <alignment horizontal="center" vertical="center"/>
      <protection hidden="1"/>
    </xf>
    <xf numFmtId="0" fontId="40" fillId="0" borderId="3" xfId="29" applyNumberFormat="1" applyFont="1" applyFill="1" applyBorder="1" applyAlignment="1" applyProtection="1">
      <alignment vertical="top" wrapText="1"/>
      <protection hidden="1"/>
    </xf>
    <xf numFmtId="0" fontId="10" fillId="3" borderId="3" xfId="29" applyNumberFormat="1" applyFont="1" applyFill="1" applyBorder="1" applyAlignment="1" applyProtection="1">
      <alignment vertical="top" wrapText="1"/>
      <protection hidden="1"/>
    </xf>
    <xf numFmtId="173" fontId="10" fillId="3" borderId="3" xfId="29" applyNumberFormat="1" applyFont="1" applyFill="1" applyBorder="1" applyAlignment="1" applyProtection="1">
      <alignment horizontal="center" vertical="center" wrapText="1"/>
      <protection hidden="1"/>
    </xf>
    <xf numFmtId="173" fontId="10" fillId="3" borderId="3" xfId="29" applyNumberFormat="1" applyFont="1" applyFill="1" applyBorder="1" applyAlignment="1" applyProtection="1">
      <alignment horizontal="center" vertical="center"/>
      <protection hidden="1"/>
    </xf>
    <xf numFmtId="174" fontId="10" fillId="3" borderId="3" xfId="29" applyNumberFormat="1" applyFont="1" applyFill="1" applyBorder="1" applyAlignment="1" applyProtection="1">
      <alignment horizontal="center" vertical="center" wrapText="1"/>
      <protection hidden="1"/>
    </xf>
    <xf numFmtId="3" fontId="10" fillId="3" borderId="3" xfId="29" applyNumberFormat="1" applyFont="1" applyFill="1" applyBorder="1" applyAlignment="1" applyProtection="1">
      <alignment horizontal="center" vertical="center"/>
      <protection hidden="1"/>
    </xf>
    <xf numFmtId="166" fontId="8" fillId="3" borderId="3" xfId="29" applyNumberFormat="1" applyFont="1" applyFill="1" applyBorder="1" applyAlignment="1" applyProtection="1">
      <alignment horizontal="center" vertical="center"/>
      <protection hidden="1"/>
    </xf>
    <xf numFmtId="175" fontId="10" fillId="3" borderId="3" xfId="29" applyNumberFormat="1" applyFont="1" applyFill="1" applyBorder="1" applyAlignment="1" applyProtection="1">
      <alignment horizontal="center" vertical="center"/>
      <protection hidden="1"/>
    </xf>
    <xf numFmtId="0" fontId="36" fillId="0" borderId="2" xfId="29" applyNumberFormat="1" applyFont="1" applyFill="1" applyBorder="1" applyAlignment="1" applyProtection="1">
      <alignment vertical="top" wrapText="1"/>
      <protection hidden="1"/>
    </xf>
    <xf numFmtId="175" fontId="9" fillId="4" borderId="3" xfId="29" applyNumberFormat="1" applyFont="1" applyFill="1" applyBorder="1" applyAlignment="1" applyProtection="1">
      <alignment horizontal="center" vertical="center"/>
      <protection hidden="1"/>
    </xf>
    <xf numFmtId="176" fontId="9" fillId="7" borderId="3" xfId="3" applyNumberFormat="1" applyFont="1" applyFill="1" applyBorder="1" applyAlignment="1" applyProtection="1">
      <alignment horizontal="left" vertical="top" wrapText="1"/>
      <protection hidden="1"/>
    </xf>
    <xf numFmtId="0" fontId="9" fillId="0" borderId="1" xfId="29" applyNumberFormat="1" applyFont="1" applyFill="1" applyBorder="1" applyAlignment="1" applyProtection="1">
      <alignment vertical="top" wrapText="1"/>
      <protection hidden="1"/>
    </xf>
    <xf numFmtId="173" fontId="9" fillId="0" borderId="1" xfId="29" applyNumberFormat="1" applyFont="1" applyFill="1" applyBorder="1" applyAlignment="1" applyProtection="1">
      <alignment horizontal="center" vertical="center" wrapText="1"/>
      <protection hidden="1"/>
    </xf>
    <xf numFmtId="173" fontId="9" fillId="0" borderId="1" xfId="29" applyNumberFormat="1" applyFont="1" applyFill="1" applyBorder="1" applyAlignment="1" applyProtection="1">
      <alignment horizontal="center" vertical="center"/>
      <protection hidden="1"/>
    </xf>
    <xf numFmtId="175" fontId="9" fillId="0" borderId="1" xfId="29" applyNumberFormat="1" applyFont="1" applyFill="1" applyBorder="1" applyAlignment="1" applyProtection="1">
      <alignment horizontal="center" vertical="center"/>
      <protection hidden="1"/>
    </xf>
    <xf numFmtId="174" fontId="9" fillId="0" borderId="1" xfId="29" applyNumberFormat="1" applyFont="1" applyFill="1" applyBorder="1" applyAlignment="1" applyProtection="1">
      <alignment horizontal="center" vertical="center" wrapText="1"/>
      <protection hidden="1"/>
    </xf>
    <xf numFmtId="3" fontId="9" fillId="0" borderId="1" xfId="29" applyNumberFormat="1" applyFont="1" applyFill="1" applyBorder="1" applyAlignment="1" applyProtection="1">
      <alignment horizontal="center" vertical="center"/>
      <protection hidden="1"/>
    </xf>
    <xf numFmtId="166" fontId="11" fillId="0" borderId="1" xfId="29" applyNumberFormat="1" applyFont="1" applyFill="1" applyBorder="1" applyAlignment="1" applyProtection="1">
      <alignment horizontal="center" vertical="center"/>
      <protection hidden="1"/>
    </xf>
    <xf numFmtId="0" fontId="9" fillId="0" borderId="4" xfId="29" applyNumberFormat="1" applyFont="1" applyFill="1" applyBorder="1" applyAlignment="1" applyProtection="1">
      <alignment vertical="top" wrapText="1"/>
      <protection hidden="1"/>
    </xf>
    <xf numFmtId="173" fontId="9" fillId="0" borderId="4" xfId="29" applyNumberFormat="1" applyFont="1" applyFill="1" applyBorder="1" applyAlignment="1" applyProtection="1">
      <alignment horizontal="center" vertical="center" wrapText="1"/>
      <protection hidden="1"/>
    </xf>
    <xf numFmtId="173" fontId="9" fillId="0" borderId="4" xfId="29" applyNumberFormat="1" applyFont="1" applyFill="1" applyBorder="1" applyAlignment="1" applyProtection="1">
      <alignment horizontal="center" vertical="center"/>
      <protection hidden="1"/>
    </xf>
    <xf numFmtId="175" fontId="9" fillId="0" borderId="4" xfId="29" applyNumberFormat="1" applyFont="1" applyFill="1" applyBorder="1" applyAlignment="1" applyProtection="1">
      <alignment horizontal="center" vertical="center"/>
      <protection hidden="1"/>
    </xf>
    <xf numFmtId="174" fontId="9" fillId="0" borderId="4" xfId="29" applyNumberFormat="1" applyFont="1" applyFill="1" applyBorder="1" applyAlignment="1" applyProtection="1">
      <alignment horizontal="center" vertical="center" wrapText="1"/>
      <protection hidden="1"/>
    </xf>
    <xf numFmtId="3" fontId="9" fillId="0" borderId="4" xfId="29" applyNumberFormat="1" applyFont="1" applyFill="1" applyBorder="1" applyAlignment="1" applyProtection="1">
      <alignment horizontal="center" vertical="center"/>
      <protection hidden="1"/>
    </xf>
    <xf numFmtId="166" fontId="11" fillId="0" borderId="4" xfId="29" applyNumberFormat="1" applyFont="1" applyFill="1" applyBorder="1" applyAlignment="1" applyProtection="1">
      <alignment horizontal="center" vertical="center"/>
      <protection hidden="1"/>
    </xf>
    <xf numFmtId="0" fontId="36" fillId="0" borderId="3" xfId="29" applyNumberFormat="1" applyFont="1" applyFill="1" applyBorder="1" applyAlignment="1" applyProtection="1">
      <alignment vertical="top" wrapText="1"/>
      <protection hidden="1"/>
    </xf>
    <xf numFmtId="173" fontId="36" fillId="0" borderId="3" xfId="29" applyNumberFormat="1" applyFont="1" applyFill="1" applyBorder="1" applyAlignment="1" applyProtection="1">
      <alignment horizontal="center" vertical="center" wrapText="1"/>
      <protection hidden="1"/>
    </xf>
    <xf numFmtId="173" fontId="36" fillId="0" borderId="3" xfId="29" applyNumberFormat="1" applyFont="1" applyFill="1" applyBorder="1" applyAlignment="1" applyProtection="1">
      <alignment horizontal="center" vertical="center"/>
      <protection hidden="1"/>
    </xf>
    <xf numFmtId="175" fontId="36" fillId="0" borderId="3" xfId="29" applyNumberFormat="1" applyFont="1" applyFill="1" applyBorder="1" applyAlignment="1" applyProtection="1">
      <alignment horizontal="center" vertical="center"/>
      <protection hidden="1"/>
    </xf>
    <xf numFmtId="0" fontId="9" fillId="0" borderId="3" xfId="23" applyFont="1" applyFill="1" applyBorder="1" applyAlignment="1">
      <alignment vertical="top" wrapText="1"/>
    </xf>
    <xf numFmtId="0" fontId="10" fillId="5" borderId="3" xfId="29" applyNumberFormat="1" applyFont="1" applyFill="1" applyBorder="1" applyAlignment="1" applyProtection="1">
      <alignment vertical="top" wrapText="1"/>
      <protection hidden="1"/>
    </xf>
    <xf numFmtId="173" fontId="10" fillId="5" borderId="3" xfId="29" applyNumberFormat="1" applyFont="1" applyFill="1" applyBorder="1" applyAlignment="1" applyProtection="1">
      <alignment horizontal="center" vertical="center" wrapText="1"/>
      <protection hidden="1"/>
    </xf>
    <xf numFmtId="173" fontId="10" fillId="5" borderId="3" xfId="29" applyNumberFormat="1" applyFont="1" applyFill="1" applyBorder="1" applyAlignment="1" applyProtection="1">
      <alignment horizontal="center" vertical="center"/>
      <protection hidden="1"/>
    </xf>
    <xf numFmtId="174" fontId="10" fillId="5" borderId="3" xfId="29" applyNumberFormat="1" applyFont="1" applyFill="1" applyBorder="1" applyAlignment="1" applyProtection="1">
      <alignment horizontal="center" vertical="center" wrapText="1"/>
      <protection hidden="1"/>
    </xf>
    <xf numFmtId="3" fontId="10" fillId="5" borderId="6" xfId="29" applyNumberFormat="1" applyFont="1" applyFill="1" applyBorder="1" applyAlignment="1" applyProtection="1">
      <alignment horizontal="center" vertical="center"/>
      <protection hidden="1"/>
    </xf>
    <xf numFmtId="166" fontId="8" fillId="5" borderId="6" xfId="29" applyNumberFormat="1" applyFont="1" applyFill="1" applyBorder="1" applyAlignment="1" applyProtection="1">
      <alignment horizontal="center" vertical="center"/>
      <protection hidden="1"/>
    </xf>
    <xf numFmtId="166" fontId="8" fillId="5" borderId="3" xfId="29" applyNumberFormat="1" applyFont="1" applyFill="1" applyBorder="1" applyAlignment="1" applyProtection="1">
      <alignment horizontal="center" vertical="center"/>
      <protection hidden="1"/>
    </xf>
    <xf numFmtId="0" fontId="10" fillId="3" borderId="4" xfId="23" applyFont="1" applyFill="1" applyBorder="1" applyAlignment="1">
      <alignment vertical="top"/>
    </xf>
    <xf numFmtId="0" fontId="50" fillId="0" borderId="3" xfId="29" applyNumberFormat="1" applyFont="1" applyFill="1" applyBorder="1" applyAlignment="1" applyProtection="1">
      <alignment vertical="top" wrapText="1"/>
      <protection hidden="1"/>
    </xf>
    <xf numFmtId="0" fontId="50" fillId="0" borderId="2" xfId="29" applyNumberFormat="1" applyFont="1" applyFill="1" applyBorder="1" applyAlignment="1" applyProtection="1">
      <alignment vertical="top" wrapText="1"/>
      <protection hidden="1"/>
    </xf>
    <xf numFmtId="49" fontId="36" fillId="6" borderId="3" xfId="29" applyNumberFormat="1" applyFont="1" applyFill="1" applyBorder="1" applyAlignment="1" applyProtection="1">
      <alignment vertical="top" wrapText="1"/>
      <protection hidden="1"/>
    </xf>
    <xf numFmtId="173" fontId="36" fillId="6" borderId="3" xfId="29" applyNumberFormat="1" applyFont="1" applyFill="1" applyBorder="1" applyAlignment="1" applyProtection="1">
      <alignment horizontal="center" vertical="center" wrapText="1"/>
      <protection hidden="1"/>
    </xf>
    <xf numFmtId="173" fontId="36" fillId="6" borderId="3" xfId="29" applyNumberFormat="1" applyFont="1" applyFill="1" applyBorder="1" applyAlignment="1" applyProtection="1">
      <alignment horizontal="center" vertical="center"/>
      <protection hidden="1"/>
    </xf>
    <xf numFmtId="49" fontId="9" fillId="6" borderId="3" xfId="23" applyNumberFormat="1" applyFont="1" applyFill="1" applyBorder="1" applyAlignment="1">
      <alignment horizontal="center" vertical="center" wrapText="1"/>
    </xf>
    <xf numFmtId="49" fontId="9" fillId="0" borderId="3" xfId="23" applyNumberFormat="1" applyFont="1" applyFill="1" applyBorder="1" applyAlignment="1">
      <alignment horizontal="center" vertical="center" wrapText="1"/>
    </xf>
    <xf numFmtId="0" fontId="36" fillId="6" borderId="3" xfId="29" applyNumberFormat="1" applyFont="1" applyFill="1" applyBorder="1" applyAlignment="1" applyProtection="1">
      <alignment vertical="top" wrapText="1"/>
      <protection hidden="1"/>
    </xf>
    <xf numFmtId="175" fontId="36" fillId="6" borderId="3" xfId="29" applyNumberFormat="1" applyFont="1" applyFill="1" applyBorder="1" applyAlignment="1" applyProtection="1">
      <alignment horizontal="center" vertical="center"/>
      <protection hidden="1"/>
    </xf>
    <xf numFmtId="0" fontId="51" fillId="3" borderId="3" xfId="29" applyNumberFormat="1" applyFont="1" applyFill="1" applyBorder="1" applyAlignment="1" applyProtection="1">
      <alignment vertical="top" wrapText="1"/>
      <protection hidden="1"/>
    </xf>
    <xf numFmtId="0" fontId="14" fillId="0" borderId="0" xfId="23" applyFont="1" applyAlignment="1">
      <alignment horizontal="center" vertical="center"/>
    </xf>
    <xf numFmtId="0" fontId="14" fillId="0" borderId="0" xfId="23" applyFont="1"/>
    <xf numFmtId="173" fontId="9" fillId="4" borderId="3" xfId="29" applyNumberFormat="1" applyFont="1" applyFill="1" applyBorder="1" applyAlignment="1" applyProtection="1">
      <alignment horizontal="center" vertical="center" wrapText="1"/>
      <protection hidden="1"/>
    </xf>
    <xf numFmtId="173" fontId="9" fillId="4" borderId="3" xfId="29" applyNumberFormat="1" applyFont="1" applyFill="1" applyBorder="1" applyAlignment="1" applyProtection="1">
      <alignment horizontal="center" vertical="center"/>
      <protection hidden="1"/>
    </xf>
    <xf numFmtId="174" fontId="9" fillId="4" borderId="3" xfId="29" applyNumberFormat="1" applyFont="1" applyFill="1" applyBorder="1" applyAlignment="1" applyProtection="1">
      <alignment horizontal="center" vertical="center" wrapText="1"/>
      <protection hidden="1"/>
    </xf>
    <xf numFmtId="3" fontId="9" fillId="4" borderId="3" xfId="29" applyNumberFormat="1" applyFont="1" applyFill="1" applyBorder="1" applyAlignment="1" applyProtection="1">
      <alignment horizontal="center" vertical="center"/>
      <protection hidden="1"/>
    </xf>
    <xf numFmtId="166" fontId="11" fillId="4" borderId="3" xfId="29" applyNumberFormat="1" applyFont="1" applyFill="1" applyBorder="1" applyAlignment="1" applyProtection="1">
      <alignment horizontal="center" vertical="center"/>
      <protection hidden="1"/>
    </xf>
    <xf numFmtId="0" fontId="9" fillId="0" borderId="3" xfId="29" applyNumberFormat="1" applyFont="1" applyFill="1" applyBorder="1" applyAlignment="1" applyProtection="1">
      <alignment horizontal="left" vertical="top" wrapText="1"/>
      <protection hidden="1"/>
    </xf>
    <xf numFmtId="174" fontId="9" fillId="4" borderId="4" xfId="29" applyNumberFormat="1" applyFont="1" applyFill="1" applyBorder="1" applyAlignment="1" applyProtection="1">
      <alignment horizontal="center" vertical="center" wrapText="1"/>
      <protection hidden="1"/>
    </xf>
    <xf numFmtId="3" fontId="9" fillId="4" borderId="4" xfId="29" applyNumberFormat="1" applyFont="1" applyFill="1" applyBorder="1" applyAlignment="1" applyProtection="1">
      <alignment horizontal="center" vertical="center"/>
      <protection hidden="1"/>
    </xf>
    <xf numFmtId="166" fontId="11" fillId="4" borderId="4" xfId="29" applyNumberFormat="1" applyFont="1" applyFill="1" applyBorder="1" applyAlignment="1" applyProtection="1">
      <alignment horizontal="center" vertical="center"/>
      <protection hidden="1"/>
    </xf>
    <xf numFmtId="0" fontId="9" fillId="0" borderId="3" xfId="23" applyFont="1" applyFill="1" applyBorder="1" applyAlignment="1">
      <alignment horizontal="left" vertical="top" wrapText="1"/>
    </xf>
    <xf numFmtId="0" fontId="10" fillId="3" borderId="0" xfId="23" applyFont="1" applyFill="1" applyAlignment="1">
      <alignment vertical="top"/>
    </xf>
    <xf numFmtId="49" fontId="10" fillId="3" borderId="3" xfId="23" applyNumberFormat="1" applyFont="1" applyFill="1" applyBorder="1" applyAlignment="1">
      <alignment horizontal="center" vertical="center" wrapText="1"/>
    </xf>
    <xf numFmtId="49" fontId="40" fillId="0" borderId="3" xfId="23" applyNumberFormat="1" applyFont="1" applyFill="1" applyBorder="1" applyAlignment="1">
      <alignment vertical="top" wrapText="1"/>
    </xf>
    <xf numFmtId="0" fontId="9" fillId="0" borderId="3" xfId="23" applyFont="1" applyBorder="1" applyAlignment="1">
      <alignment vertical="top" wrapText="1"/>
    </xf>
    <xf numFmtId="174" fontId="52" fillId="0" borderId="3" xfId="29" applyNumberFormat="1" applyFont="1" applyFill="1" applyBorder="1" applyAlignment="1" applyProtection="1">
      <alignment horizontal="center" vertical="center" wrapText="1"/>
      <protection hidden="1"/>
    </xf>
    <xf numFmtId="3" fontId="52" fillId="0" borderId="3" xfId="29" applyNumberFormat="1" applyFont="1" applyFill="1" applyBorder="1" applyAlignment="1" applyProtection="1">
      <alignment horizontal="center" vertical="center"/>
      <protection hidden="1"/>
    </xf>
    <xf numFmtId="0" fontId="10" fillId="5" borderId="7" xfId="29" applyNumberFormat="1" applyFont="1" applyFill="1" applyBorder="1" applyAlignment="1" applyProtection="1">
      <alignment vertical="top" wrapText="1"/>
      <protection hidden="1"/>
    </xf>
    <xf numFmtId="173" fontId="10" fillId="5" borderId="6" xfId="29" applyNumberFormat="1" applyFont="1" applyFill="1" applyBorder="1" applyAlignment="1" applyProtection="1">
      <alignment horizontal="center" vertical="center" wrapText="1"/>
      <protection hidden="1"/>
    </xf>
    <xf numFmtId="173" fontId="10" fillId="5" borderId="6" xfId="29" applyNumberFormat="1" applyFont="1" applyFill="1" applyBorder="1" applyAlignment="1" applyProtection="1">
      <alignment horizontal="center" vertical="center"/>
      <protection hidden="1"/>
    </xf>
    <xf numFmtId="174" fontId="10" fillId="5" borderId="6" xfId="29" applyNumberFormat="1" applyFont="1" applyFill="1" applyBorder="1" applyAlignment="1" applyProtection="1">
      <alignment horizontal="center" vertical="center" wrapText="1"/>
      <protection hidden="1"/>
    </xf>
    <xf numFmtId="0" fontId="10" fillId="5" borderId="7" xfId="3" applyNumberFormat="1" applyFont="1" applyFill="1" applyBorder="1" applyAlignment="1" applyProtection="1">
      <alignment vertical="top" wrapText="1"/>
      <protection hidden="1"/>
    </xf>
    <xf numFmtId="173" fontId="10" fillId="5" borderId="6" xfId="3" applyNumberFormat="1" applyFont="1" applyFill="1" applyBorder="1" applyAlignment="1" applyProtection="1">
      <alignment horizontal="center" vertical="center"/>
      <protection hidden="1"/>
    </xf>
    <xf numFmtId="177" fontId="10" fillId="5" borderId="6" xfId="3" applyNumberFormat="1" applyFont="1" applyFill="1" applyBorder="1" applyAlignment="1" applyProtection="1">
      <alignment horizontal="center" vertical="center"/>
      <protection hidden="1"/>
    </xf>
    <xf numFmtId="0" fontId="10" fillId="3" borderId="4" xfId="3" applyNumberFormat="1" applyFont="1" applyFill="1" applyBorder="1" applyAlignment="1" applyProtection="1">
      <alignment vertical="top" wrapText="1"/>
      <protection hidden="1"/>
    </xf>
    <xf numFmtId="173" fontId="10" fillId="3" borderId="4" xfId="3" applyNumberFormat="1" applyFont="1" applyFill="1" applyBorder="1" applyAlignment="1" applyProtection="1">
      <alignment horizontal="center" vertical="center"/>
      <protection hidden="1"/>
    </xf>
    <xf numFmtId="177" fontId="10" fillId="3" borderId="4" xfId="3" applyNumberFormat="1" applyFont="1" applyFill="1" applyBorder="1" applyAlignment="1" applyProtection="1">
      <alignment horizontal="center" vertical="center"/>
      <protection hidden="1"/>
    </xf>
    <xf numFmtId="0" fontId="9" fillId="0" borderId="3" xfId="3" applyNumberFormat="1" applyFont="1" applyFill="1" applyBorder="1" applyAlignment="1" applyProtection="1">
      <alignment vertical="top" wrapText="1"/>
      <protection hidden="1"/>
    </xf>
    <xf numFmtId="173" fontId="9" fillId="0" borderId="3" xfId="3" applyNumberFormat="1" applyFont="1" applyFill="1" applyBorder="1" applyAlignment="1" applyProtection="1">
      <alignment horizontal="center" vertical="center"/>
      <protection hidden="1"/>
    </xf>
    <xf numFmtId="177" fontId="9" fillId="0" borderId="3" xfId="3" applyNumberFormat="1" applyFont="1" applyFill="1" applyBorder="1" applyAlignment="1" applyProtection="1">
      <alignment horizontal="center" vertical="center"/>
      <protection hidden="1"/>
    </xf>
    <xf numFmtId="175" fontId="10" fillId="5" borderId="6" xfId="29" applyNumberFormat="1" applyFont="1" applyFill="1" applyBorder="1" applyAlignment="1" applyProtection="1">
      <alignment horizontal="center" vertical="center"/>
      <protection hidden="1"/>
    </xf>
    <xf numFmtId="176" fontId="9" fillId="6" borderId="3" xfId="3" applyNumberFormat="1" applyFont="1" applyFill="1" applyBorder="1" applyAlignment="1" applyProtection="1">
      <alignment horizontal="left" vertical="top" wrapText="1"/>
      <protection hidden="1"/>
    </xf>
    <xf numFmtId="49" fontId="9" fillId="6" borderId="3" xfId="23" applyNumberFormat="1" applyFont="1" applyFill="1" applyBorder="1" applyAlignment="1">
      <alignment horizontal="center" vertical="center"/>
    </xf>
    <xf numFmtId="176" fontId="40" fillId="7" borderId="3" xfId="3" applyNumberFormat="1" applyFont="1" applyFill="1" applyBorder="1" applyAlignment="1" applyProtection="1">
      <alignment horizontal="left" vertical="top" wrapText="1"/>
      <protection hidden="1"/>
    </xf>
    <xf numFmtId="49" fontId="9" fillId="0" borderId="3" xfId="23" applyNumberFormat="1" applyFont="1" applyFill="1" applyBorder="1" applyAlignment="1">
      <alignment horizontal="center" vertical="center"/>
    </xf>
    <xf numFmtId="49" fontId="9" fillId="0" borderId="3" xfId="23" applyNumberFormat="1" applyFont="1" applyBorder="1" applyAlignment="1">
      <alignment horizontal="center" vertical="center"/>
    </xf>
    <xf numFmtId="0" fontId="9" fillId="6" borderId="3" xfId="23" applyFont="1" applyFill="1" applyBorder="1" applyAlignment="1">
      <alignment horizontal="center" vertical="center"/>
    </xf>
    <xf numFmtId="0" fontId="31" fillId="0" borderId="3" xfId="29" applyNumberFormat="1" applyFont="1" applyFill="1" applyBorder="1" applyAlignment="1" applyProtection="1">
      <alignment vertical="top" wrapText="1"/>
      <protection hidden="1"/>
    </xf>
    <xf numFmtId="0" fontId="9" fillId="0" borderId="3" xfId="23" applyFont="1" applyBorder="1" applyAlignment="1">
      <alignment horizontal="center" vertical="center"/>
    </xf>
    <xf numFmtId="174" fontId="10" fillId="0" borderId="3" xfId="29" applyNumberFormat="1" applyFont="1" applyFill="1" applyBorder="1" applyAlignment="1" applyProtection="1">
      <alignment horizontal="center" vertical="center" wrapText="1"/>
      <protection hidden="1"/>
    </xf>
    <xf numFmtId="176" fontId="40" fillId="4" borderId="3" xfId="3" applyNumberFormat="1" applyFont="1" applyFill="1" applyBorder="1" applyAlignment="1" applyProtection="1">
      <alignment horizontal="left" vertical="top" wrapText="1"/>
      <protection hidden="1"/>
    </xf>
    <xf numFmtId="49" fontId="9" fillId="4" borderId="3" xfId="23" applyNumberFormat="1" applyFont="1" applyFill="1" applyBorder="1" applyAlignment="1">
      <alignment horizontal="center" vertical="center"/>
    </xf>
    <xf numFmtId="166" fontId="12" fillId="0" borderId="3" xfId="29" applyNumberFormat="1" applyFont="1" applyFill="1" applyBorder="1" applyAlignment="1" applyProtection="1">
      <alignment horizontal="center" vertical="center"/>
      <protection hidden="1"/>
    </xf>
    <xf numFmtId="49" fontId="9" fillId="0" borderId="3" xfId="29" applyNumberFormat="1" applyFont="1" applyFill="1" applyBorder="1" applyAlignment="1" applyProtection="1">
      <alignment horizontal="center" vertical="center" wrapText="1"/>
      <protection hidden="1"/>
    </xf>
    <xf numFmtId="173" fontId="36" fillId="0" borderId="1" xfId="29" applyNumberFormat="1" applyFont="1" applyFill="1" applyBorder="1" applyAlignment="1" applyProtection="1">
      <alignment horizontal="center" vertical="center" wrapText="1"/>
      <protection hidden="1"/>
    </xf>
    <xf numFmtId="173" fontId="36" fillId="0" borderId="1" xfId="29" applyNumberFormat="1" applyFont="1" applyFill="1" applyBorder="1" applyAlignment="1" applyProtection="1">
      <alignment horizontal="center" vertical="center"/>
      <protection hidden="1"/>
    </xf>
    <xf numFmtId="49" fontId="9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10" fillId="5" borderId="8" xfId="1" applyNumberFormat="1" applyFont="1" applyFill="1" applyBorder="1" applyAlignment="1" applyProtection="1">
      <alignment vertical="top" wrapText="1"/>
      <protection hidden="1"/>
    </xf>
    <xf numFmtId="0" fontId="10" fillId="6" borderId="4" xfId="30" applyNumberFormat="1" applyFont="1" applyFill="1" applyBorder="1" applyAlignment="1" applyProtection="1">
      <alignment vertical="top" wrapText="1"/>
      <protection hidden="1"/>
    </xf>
    <xf numFmtId="173" fontId="10" fillId="6" borderId="4" xfId="29" applyNumberFormat="1" applyFont="1" applyFill="1" applyBorder="1" applyAlignment="1" applyProtection="1">
      <alignment horizontal="center" vertical="center" wrapText="1"/>
      <protection hidden="1"/>
    </xf>
    <xf numFmtId="173" fontId="10" fillId="6" borderId="4" xfId="29" applyNumberFormat="1" applyFont="1" applyFill="1" applyBorder="1" applyAlignment="1" applyProtection="1">
      <alignment horizontal="center" vertical="center"/>
      <protection hidden="1"/>
    </xf>
    <xf numFmtId="174" fontId="10" fillId="6" borderId="4" xfId="29" applyNumberFormat="1" applyFont="1" applyFill="1" applyBorder="1" applyAlignment="1" applyProtection="1">
      <alignment horizontal="center" vertical="center" wrapText="1"/>
      <protection hidden="1"/>
    </xf>
    <xf numFmtId="3" fontId="10" fillId="6" borderId="4" xfId="29" applyNumberFormat="1" applyFont="1" applyFill="1" applyBorder="1" applyAlignment="1" applyProtection="1">
      <alignment horizontal="center" vertical="center"/>
      <protection hidden="1"/>
    </xf>
    <xf numFmtId="166" fontId="8" fillId="6" borderId="4" xfId="29" applyNumberFormat="1" applyFont="1" applyFill="1" applyBorder="1" applyAlignment="1" applyProtection="1">
      <alignment horizontal="center" vertical="center"/>
      <protection hidden="1"/>
    </xf>
    <xf numFmtId="0" fontId="40" fillId="6" borderId="3" xfId="23" applyFont="1" applyFill="1" applyBorder="1" applyAlignment="1">
      <alignment vertical="top" wrapText="1"/>
    </xf>
    <xf numFmtId="49" fontId="9" fillId="6" borderId="3" xfId="29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30" applyNumberFormat="1" applyFont="1" applyFill="1" applyBorder="1" applyAlignment="1" applyProtection="1">
      <alignment vertical="top" wrapText="1"/>
      <protection hidden="1"/>
    </xf>
    <xf numFmtId="0" fontId="9" fillId="6" borderId="3" xfId="30" applyNumberFormat="1" applyFont="1" applyFill="1" applyBorder="1" applyAlignment="1" applyProtection="1">
      <alignment vertical="top" wrapText="1"/>
      <protection hidden="1"/>
    </xf>
    <xf numFmtId="0" fontId="10" fillId="5" borderId="7" xfId="29" applyNumberFormat="1" applyFont="1" applyFill="1" applyBorder="1" applyAlignment="1" applyProtection="1">
      <alignment horizontal="left" vertical="top"/>
      <protection hidden="1"/>
    </xf>
    <xf numFmtId="0" fontId="10" fillId="5" borderId="6" xfId="29" applyNumberFormat="1" applyFont="1" applyFill="1" applyBorder="1" applyAlignment="1" applyProtection="1">
      <alignment horizontal="center" vertical="center"/>
      <protection hidden="1"/>
    </xf>
    <xf numFmtId="3" fontId="10" fillId="5" borderId="6" xfId="29" applyNumberFormat="1" applyFont="1" applyFill="1" applyBorder="1" applyAlignment="1">
      <alignment horizontal="center" vertical="center"/>
    </xf>
    <xf numFmtId="166" fontId="8" fillId="5" borderId="6" xfId="29" applyNumberFormat="1" applyFont="1" applyFill="1" applyBorder="1" applyAlignment="1">
      <alignment horizontal="center" vertical="center"/>
    </xf>
    <xf numFmtId="0" fontId="5" fillId="0" borderId="0" xfId="29" applyFont="1" applyFill="1" applyAlignment="1">
      <alignment horizontal="center" vertical="center"/>
    </xf>
    <xf numFmtId="0" fontId="36" fillId="0" borderId="0" xfId="29" applyFont="1" applyBorder="1" applyAlignment="1">
      <alignment vertical="top"/>
    </xf>
    <xf numFmtId="0" fontId="36" fillId="0" borderId="0" xfId="29" applyFont="1" applyBorder="1" applyAlignment="1">
      <alignment horizontal="center" vertical="center"/>
    </xf>
    <xf numFmtId="166" fontId="5" fillId="0" borderId="0" xfId="29" applyNumberFormat="1" applyFont="1" applyFill="1" applyBorder="1" applyAlignment="1">
      <alignment horizontal="center" vertical="center"/>
    </xf>
    <xf numFmtId="0" fontId="5" fillId="0" borderId="0" xfId="29" applyFont="1" applyBorder="1" applyAlignment="1">
      <alignment horizontal="center" vertical="center"/>
    </xf>
    <xf numFmtId="0" fontId="5" fillId="0" borderId="0" xfId="29" applyFont="1" applyFill="1" applyBorder="1" applyAlignment="1">
      <alignment horizontal="center" vertical="center"/>
    </xf>
    <xf numFmtId="166" fontId="5" fillId="0" borderId="0" xfId="29" applyNumberFormat="1" applyFont="1" applyBorder="1" applyAlignment="1">
      <alignment horizontal="center" vertical="center"/>
    </xf>
  </cellXfs>
  <cellStyles count="31"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27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5" xfId="23"/>
    <cellStyle name="Обычный 6" xfId="24"/>
    <cellStyle name="Обычный 7" xfId="25"/>
    <cellStyle name="Обычный_Tmp2" xfId="1"/>
    <cellStyle name="Обычный_Tmp6" xfId="30"/>
    <cellStyle name="Обычный_Tmp7" xfId="29"/>
    <cellStyle name="Процентный 2" xfId="26"/>
    <cellStyle name="Процентный 3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68"/>
  <sheetViews>
    <sheetView workbookViewId="0">
      <pane xSplit="15" ySplit="7" topLeftCell="P33" activePane="bottomRight" state="frozen"/>
      <selection pane="topRight" activeCell="P1" sqref="P1"/>
      <selection pane="bottomLeft" activeCell="A8" sqref="A8"/>
      <selection pane="bottomRight" activeCell="A40" sqref="A40:XFD40"/>
    </sheetView>
  </sheetViews>
  <sheetFormatPr defaultRowHeight="15" x14ac:dyDescent="0.25"/>
  <cols>
    <col min="1" max="1" width="12" style="3" customWidth="1"/>
    <col min="2" max="2" width="44.28515625" style="3" customWidth="1"/>
    <col min="3" max="5" width="9.42578125" style="3" hidden="1" customWidth="1"/>
    <col min="6" max="6" width="13.28515625" style="3" hidden="1" customWidth="1"/>
    <col min="7" max="7" width="9.5703125" style="3" hidden="1" customWidth="1"/>
    <col min="8" max="8" width="12" style="3" hidden="1" customWidth="1"/>
    <col min="9" max="9" width="9.140625" style="3" hidden="1" customWidth="1"/>
    <col min="10" max="10" width="10.42578125" style="3" hidden="1" customWidth="1"/>
    <col min="11" max="11" width="12" style="3" hidden="1" customWidth="1"/>
    <col min="12" max="12" width="9.5703125" style="3" hidden="1" customWidth="1"/>
    <col min="13" max="13" width="13.28515625" style="3" hidden="1" customWidth="1"/>
    <col min="14" max="14" width="10.42578125" style="3" hidden="1" customWidth="1"/>
    <col min="15" max="15" width="12" style="3" hidden="1" customWidth="1"/>
    <col min="16" max="16" width="8.85546875" style="3" hidden="1" customWidth="1"/>
    <col min="17" max="17" width="13.28515625" style="3" hidden="1" customWidth="1"/>
    <col min="18" max="18" width="9.7109375" style="3" hidden="1" customWidth="1"/>
    <col min="19" max="19" width="10" style="3" hidden="1" customWidth="1"/>
    <col min="20" max="20" width="9.28515625" style="3" customWidth="1"/>
    <col min="21" max="21" width="9.28515625" style="3" hidden="1" customWidth="1"/>
    <col min="22" max="22" width="9.7109375" style="3" hidden="1" customWidth="1"/>
    <col min="23" max="23" width="10" style="3" hidden="1" customWidth="1"/>
    <col min="24" max="24" width="8.7109375" style="3" customWidth="1"/>
    <col min="25" max="25" width="9.28515625" style="3" hidden="1" customWidth="1"/>
    <col min="26" max="27" width="9.140625" style="3" customWidth="1"/>
    <col min="28" max="28" width="8.85546875" style="3" customWidth="1"/>
    <col min="29" max="29" width="6.85546875" style="3" customWidth="1"/>
    <col min="30" max="30" width="8.7109375" style="3" customWidth="1"/>
    <col min="31" max="31" width="6.7109375" style="3" customWidth="1"/>
    <col min="32" max="32" width="7" style="3" customWidth="1"/>
    <col min="33" max="33" width="7.140625" style="3" customWidth="1"/>
    <col min="34" max="34" width="6.85546875" style="3" customWidth="1"/>
    <col min="35" max="35" width="9.28515625" style="3" hidden="1" customWidth="1"/>
    <col min="36" max="36" width="11.42578125" style="3" bestFit="1" customWidth="1"/>
    <col min="37" max="16384" width="9.140625" style="3"/>
  </cols>
  <sheetData>
    <row r="1" spans="1:35" ht="12.75" customHeight="1" x14ac:dyDescent="0.25">
      <c r="A1" s="1"/>
      <c r="B1" s="2"/>
      <c r="C1" s="2"/>
      <c r="D1" s="2"/>
      <c r="E1" s="2"/>
      <c r="G1" s="4"/>
      <c r="H1" s="4"/>
      <c r="J1" s="4"/>
      <c r="K1" s="4"/>
      <c r="N1" s="4"/>
      <c r="O1" s="4"/>
      <c r="R1" s="4"/>
      <c r="S1" s="4"/>
      <c r="V1" s="4"/>
      <c r="W1" s="4"/>
      <c r="Z1" s="4"/>
      <c r="AA1" s="4"/>
      <c r="AB1" s="4"/>
      <c r="AC1" s="4"/>
      <c r="AE1" s="4"/>
      <c r="AF1" s="5" t="s">
        <v>0</v>
      </c>
    </row>
    <row r="2" spans="1:35" s="6" customFormat="1" ht="12.75" customHeight="1" x14ac:dyDescent="0.25">
      <c r="B2" s="7" t="s">
        <v>1</v>
      </c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6" customFormat="1" ht="10.5" customHeight="1" x14ac:dyDescent="0.25"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36" customHeight="1" x14ac:dyDescent="0.25">
      <c r="A4" s="54" t="s">
        <v>2</v>
      </c>
      <c r="B4" s="54" t="s">
        <v>3</v>
      </c>
      <c r="C4" s="51" t="s">
        <v>4</v>
      </c>
      <c r="D4" s="10" t="s">
        <v>5</v>
      </c>
      <c r="E4" s="11" t="s">
        <v>6</v>
      </c>
      <c r="F4" s="51" t="s">
        <v>7</v>
      </c>
      <c r="G4" s="10" t="s">
        <v>8</v>
      </c>
      <c r="H4" s="11" t="s">
        <v>9</v>
      </c>
      <c r="I4" s="51" t="s">
        <v>10</v>
      </c>
      <c r="J4" s="10" t="s">
        <v>11</v>
      </c>
      <c r="K4" s="11" t="s">
        <v>12</v>
      </c>
      <c r="L4" s="51" t="s">
        <v>13</v>
      </c>
      <c r="M4" s="51" t="s">
        <v>14</v>
      </c>
      <c r="N4" s="10" t="s">
        <v>15</v>
      </c>
      <c r="O4" s="11" t="s">
        <v>16</v>
      </c>
      <c r="P4" s="51" t="s">
        <v>17</v>
      </c>
      <c r="Q4" s="51" t="s">
        <v>18</v>
      </c>
      <c r="R4" s="10" t="s">
        <v>19</v>
      </c>
      <c r="S4" s="11" t="s">
        <v>20</v>
      </c>
      <c r="T4" s="51" t="s">
        <v>21</v>
      </c>
      <c r="U4" s="51" t="s">
        <v>22</v>
      </c>
      <c r="V4" s="10" t="s">
        <v>23</v>
      </c>
      <c r="W4" s="11" t="s">
        <v>24</v>
      </c>
      <c r="X4" s="51" t="s">
        <v>25</v>
      </c>
      <c r="Y4" s="51" t="s">
        <v>26</v>
      </c>
      <c r="Z4" s="10" t="s">
        <v>27</v>
      </c>
      <c r="AA4" s="11" t="s">
        <v>28</v>
      </c>
      <c r="AB4" s="51" t="s">
        <v>29</v>
      </c>
      <c r="AC4" s="51" t="s">
        <v>30</v>
      </c>
      <c r="AD4" s="51" t="s">
        <v>31</v>
      </c>
      <c r="AE4" s="51" t="s">
        <v>32</v>
      </c>
      <c r="AF4" s="51" t="s">
        <v>33</v>
      </c>
      <c r="AG4" s="51" t="s">
        <v>34</v>
      </c>
      <c r="AH4" s="51" t="s">
        <v>35</v>
      </c>
      <c r="AI4" s="51" t="s">
        <v>36</v>
      </c>
    </row>
    <row r="5" spans="1:35" ht="30.75" customHeight="1" x14ac:dyDescent="0.25">
      <c r="A5" s="55"/>
      <c r="B5" s="55"/>
      <c r="C5" s="52"/>
      <c r="D5" s="11" t="s">
        <v>37</v>
      </c>
      <c r="E5" s="11" t="s">
        <v>38</v>
      </c>
      <c r="F5" s="52"/>
      <c r="G5" s="11" t="s">
        <v>37</v>
      </c>
      <c r="H5" s="11" t="s">
        <v>38</v>
      </c>
      <c r="I5" s="52"/>
      <c r="J5" s="11" t="s">
        <v>37</v>
      </c>
      <c r="K5" s="11" t="s">
        <v>38</v>
      </c>
      <c r="L5" s="52"/>
      <c r="M5" s="52"/>
      <c r="N5" s="11" t="s">
        <v>37</v>
      </c>
      <c r="O5" s="11" t="s">
        <v>38</v>
      </c>
      <c r="P5" s="52"/>
      <c r="Q5" s="52"/>
      <c r="R5" s="11" t="s">
        <v>37</v>
      </c>
      <c r="S5" s="11" t="s">
        <v>38</v>
      </c>
      <c r="T5" s="52"/>
      <c r="U5" s="52"/>
      <c r="V5" s="11" t="s">
        <v>37</v>
      </c>
      <c r="W5" s="11" t="s">
        <v>38</v>
      </c>
      <c r="X5" s="52"/>
      <c r="Y5" s="52"/>
      <c r="Z5" s="11" t="s">
        <v>37</v>
      </c>
      <c r="AA5" s="11" t="s">
        <v>38</v>
      </c>
      <c r="AB5" s="52"/>
      <c r="AC5" s="52"/>
      <c r="AD5" s="52"/>
      <c r="AE5" s="52"/>
      <c r="AF5" s="52"/>
      <c r="AG5" s="52"/>
      <c r="AH5" s="52"/>
      <c r="AI5" s="52"/>
    </row>
    <row r="6" spans="1:35" ht="23.25" customHeight="1" x14ac:dyDescent="0.25">
      <c r="A6" s="12" t="s">
        <v>39</v>
      </c>
      <c r="B6" s="13" t="s">
        <v>40</v>
      </c>
      <c r="C6" s="14">
        <f t="shared" ref="C6:K6" si="0">C9+C20+C33+C28+C44+C40+C50+C58+C19</f>
        <v>2386.84</v>
      </c>
      <c r="D6" s="14">
        <f t="shared" si="0"/>
        <v>1167</v>
      </c>
      <c r="E6" s="14">
        <f t="shared" si="0"/>
        <v>1580.8999999999999</v>
      </c>
      <c r="F6" s="14">
        <f t="shared" si="0"/>
        <v>1609.1314199999999</v>
      </c>
      <c r="G6" s="14">
        <f t="shared" si="0"/>
        <v>1116.8</v>
      </c>
      <c r="H6" s="14">
        <f t="shared" si="0"/>
        <v>1684.8999999999999</v>
      </c>
      <c r="I6" s="14">
        <f t="shared" si="0"/>
        <v>1697.99729</v>
      </c>
      <c r="J6" s="14">
        <f t="shared" si="0"/>
        <v>1418.9</v>
      </c>
      <c r="K6" s="14">
        <f t="shared" si="0"/>
        <v>2576.7999999999997</v>
      </c>
      <c r="L6" s="14">
        <f>L9+L20+L33+L28+L44+L40+L50+L58+L19</f>
        <v>2561.2666100000001</v>
      </c>
      <c r="M6" s="14">
        <f>M9+M20+M33+M28+M44+M40+M50+M58+M19</f>
        <v>2561.2666100000001</v>
      </c>
      <c r="N6" s="14">
        <f t="shared" ref="N6:O6" si="1">N9+N20+N33+N28+N44+N40+N50+N58+N19</f>
        <v>1801.6</v>
      </c>
      <c r="O6" s="14">
        <f t="shared" si="1"/>
        <v>2975.5</v>
      </c>
      <c r="P6" s="14">
        <f>P9+P20+P33+P28+P44+P40+P50+P58+P19</f>
        <v>2992.7498499999997</v>
      </c>
      <c r="Q6" s="14">
        <f>Q9+Q20+Q33+Q28+Q44+Q40+Q50+Q58+Q19</f>
        <v>-23872.704809999999</v>
      </c>
      <c r="R6" s="14">
        <f t="shared" ref="R6:S6" si="2">R9+R20+R33+R28+R44+R40+R50+R58+R19</f>
        <v>1626.7</v>
      </c>
      <c r="S6" s="14">
        <f t="shared" si="2"/>
        <v>3007.1</v>
      </c>
      <c r="T6" s="14">
        <f>T9+T20+T33+T28+T44+T40+T50+T58+T19</f>
        <v>3227.63177</v>
      </c>
      <c r="U6" s="14">
        <f>U9+U20+U33+U28+U44+U40+U50+U58+U19</f>
        <v>-5628.3888099999986</v>
      </c>
      <c r="V6" s="14">
        <f t="shared" ref="V6:AA6" si="3">V9+V20+V33+V28+V44+V40+V50+V58+V19+V14</f>
        <v>4887</v>
      </c>
      <c r="W6" s="14">
        <f t="shared" si="3"/>
        <v>5746.6100000000006</v>
      </c>
      <c r="X6" s="14">
        <f t="shared" si="3"/>
        <v>5918.6531500000001</v>
      </c>
      <c r="Y6" s="14">
        <f t="shared" si="3"/>
        <v>3596.5080900000003</v>
      </c>
      <c r="Z6" s="14">
        <f t="shared" si="3"/>
        <v>4041</v>
      </c>
      <c r="AA6" s="14">
        <f t="shared" si="3"/>
        <v>4976.6399999999994</v>
      </c>
      <c r="AB6" s="14">
        <f t="shared" ref="AB6:AB7" si="4">AA6-Z6</f>
        <v>935.63999999999942</v>
      </c>
      <c r="AC6" s="14">
        <f t="shared" ref="AC6:AC7" si="5">AA6/Z6*100</f>
        <v>123.15367483296214</v>
      </c>
      <c r="AD6" s="14">
        <f>AD9+AD20+AD33+AD28+AD44+AD40+AD50+AD58+AD19+AD14</f>
        <v>5362.2653800000007</v>
      </c>
      <c r="AE6" s="14">
        <f>AD6-AA6</f>
        <v>385.62538000000131</v>
      </c>
      <c r="AF6" s="14">
        <f>AD6/Z6*100</f>
        <v>132.69649542192528</v>
      </c>
      <c r="AG6" s="14">
        <f>AD6/AA6*100</f>
        <v>107.74870957111628</v>
      </c>
      <c r="AH6" s="14">
        <f>AD6/X6*100</f>
        <v>90.599419227666701</v>
      </c>
      <c r="AI6" s="14">
        <f>AI9+AI20+AI33+AI28+AI44+AI40+AI50+AI58+AI19+AI14</f>
        <v>5358.1998299999996</v>
      </c>
    </row>
    <row r="7" spans="1:35" s="16" customFormat="1" x14ac:dyDescent="0.25">
      <c r="A7" s="12"/>
      <c r="B7" s="15" t="s">
        <v>41</v>
      </c>
      <c r="C7" s="14">
        <f>C9+C20+C28+C19</f>
        <v>2280.94</v>
      </c>
      <c r="D7" s="14">
        <f t="shared" ref="D7:K7" si="6">D9+D20+D28+D19</f>
        <v>1050</v>
      </c>
      <c r="E7" s="14">
        <f t="shared" si="6"/>
        <v>1107.8</v>
      </c>
      <c r="F7" s="14">
        <f t="shared" si="6"/>
        <v>1128.47</v>
      </c>
      <c r="G7" s="14">
        <f t="shared" si="6"/>
        <v>960</v>
      </c>
      <c r="H7" s="14">
        <f t="shared" si="6"/>
        <v>1257.3</v>
      </c>
      <c r="I7" s="14">
        <f t="shared" si="6"/>
        <v>1270.34232</v>
      </c>
      <c r="J7" s="14">
        <f t="shared" si="6"/>
        <v>926</v>
      </c>
      <c r="K7" s="14">
        <f t="shared" si="6"/>
        <v>1292.3</v>
      </c>
      <c r="L7" s="14">
        <f>L9+L20+L28+L19</f>
        <v>1344.5606900000002</v>
      </c>
      <c r="M7" s="14">
        <f>M9+M20+M28+M19</f>
        <v>1907.7657400000003</v>
      </c>
      <c r="N7" s="14">
        <f t="shared" ref="N7:O7" si="7">N9+N20+N28+N19</f>
        <v>1354</v>
      </c>
      <c r="O7" s="14">
        <f t="shared" si="7"/>
        <v>2650.7</v>
      </c>
      <c r="P7" s="14">
        <f>P9+P20+P28+P19</f>
        <v>2668.0866399999995</v>
      </c>
      <c r="Q7" s="14">
        <f>Q9+Q20+Q28+Q19</f>
        <v>2668.0866399999995</v>
      </c>
      <c r="R7" s="14">
        <f t="shared" ref="R7:S7" si="8">R9+R20+R28+R19</f>
        <v>1396.7</v>
      </c>
      <c r="S7" s="14">
        <f t="shared" si="8"/>
        <v>2237.1</v>
      </c>
      <c r="T7" s="14">
        <f>T9+T20+T28+T19</f>
        <v>2289.1006700000003</v>
      </c>
      <c r="U7" s="14">
        <f>U9+U20+U28+U19</f>
        <v>2289.1006700000003</v>
      </c>
      <c r="V7" s="14">
        <f t="shared" ref="V7:AA7" si="9">V9+V20+V28+V19+V14</f>
        <v>4688</v>
      </c>
      <c r="W7" s="14">
        <f t="shared" si="9"/>
        <v>4962.49</v>
      </c>
      <c r="X7" s="14">
        <f t="shared" si="9"/>
        <v>5109.15726</v>
      </c>
      <c r="Y7" s="14">
        <f t="shared" si="9"/>
        <v>5109.15726</v>
      </c>
      <c r="Z7" s="14">
        <f t="shared" si="9"/>
        <v>3648</v>
      </c>
      <c r="AA7" s="14">
        <f t="shared" si="9"/>
        <v>4061.16</v>
      </c>
      <c r="AB7" s="14">
        <f t="shared" si="4"/>
        <v>413.15999999999985</v>
      </c>
      <c r="AC7" s="14">
        <f t="shared" si="5"/>
        <v>111.32565789473684</v>
      </c>
      <c r="AD7" s="14">
        <f>AD9+AD20+AD28+AD19+AD14</f>
        <v>4372.5539600000002</v>
      </c>
      <c r="AE7" s="14">
        <f>AD7-AA7</f>
        <v>311.39396000000033</v>
      </c>
      <c r="AF7" s="14">
        <f>AD7/Z7*100</f>
        <v>119.86167653508772</v>
      </c>
      <c r="AG7" s="14">
        <f>AD7/AA7*100</f>
        <v>107.66761122437924</v>
      </c>
      <c r="AH7" s="14">
        <f t="shared" ref="AH7:AH70" si="10">AD7/X7*100</f>
        <v>85.582684922092227</v>
      </c>
      <c r="AI7" s="14">
        <f>AI9+AI20+AI28+AI19+AI14</f>
        <v>4373.2864800000007</v>
      </c>
    </row>
    <row r="8" spans="1:35" s="16" customFormat="1" x14ac:dyDescent="0.25">
      <c r="A8" s="12"/>
      <c r="B8" s="15" t="s">
        <v>42</v>
      </c>
      <c r="C8" s="14">
        <f t="shared" ref="C8:AA8" si="11">C7/C120*100</f>
        <v>6.2886766544837922</v>
      </c>
      <c r="D8" s="14">
        <f t="shared" si="11"/>
        <v>4.3425215575177321</v>
      </c>
      <c r="E8" s="14">
        <f t="shared" si="11"/>
        <v>2.6926405937323548</v>
      </c>
      <c r="F8" s="14">
        <f t="shared" si="11"/>
        <v>2.7410005842125025</v>
      </c>
      <c r="G8" s="14">
        <f t="shared" si="11"/>
        <v>2.8478872236659423</v>
      </c>
      <c r="H8" s="14">
        <f t="shared" si="11"/>
        <v>3.1338953224624504</v>
      </c>
      <c r="I8" s="14">
        <f t="shared" si="11"/>
        <v>3.1653687568392832</v>
      </c>
      <c r="J8" s="14">
        <f t="shared" si="11"/>
        <v>3.0624022329740685</v>
      </c>
      <c r="K8" s="14">
        <f t="shared" si="11"/>
        <v>3.5144352101644758</v>
      </c>
      <c r="L8" s="14">
        <f t="shared" si="11"/>
        <v>3.6580983606566662</v>
      </c>
      <c r="M8" s="14">
        <f t="shared" si="11"/>
        <v>1.8862728326361673</v>
      </c>
      <c r="N8" s="14">
        <f t="shared" si="11"/>
        <v>5.1024253478241208</v>
      </c>
      <c r="O8" s="14">
        <f t="shared" si="11"/>
        <v>7.4718540526217865</v>
      </c>
      <c r="P8" s="14">
        <f t="shared" si="11"/>
        <v>7.5222780501636288</v>
      </c>
      <c r="Q8" s="14">
        <f t="shared" si="11"/>
        <v>3.9054462051433267</v>
      </c>
      <c r="R8" s="14">
        <f t="shared" si="11"/>
        <v>5.1132515476674234</v>
      </c>
      <c r="S8" s="14">
        <f t="shared" si="11"/>
        <v>6.4399161380193402</v>
      </c>
      <c r="T8" s="14">
        <f>T7/T120*100</f>
        <v>6.546053807972334</v>
      </c>
      <c r="U8" s="14">
        <f>U7/U120*100</f>
        <v>5.1157991208400215</v>
      </c>
      <c r="V8" s="14">
        <f t="shared" ref="V8:W8" si="12">V7/V120*100</f>
        <v>16.415485461370384</v>
      </c>
      <c r="W8" s="14">
        <f t="shared" si="12"/>
        <v>11.203448027523175</v>
      </c>
      <c r="X8" s="14">
        <f>X7/X120*100</f>
        <v>11.494075631266536</v>
      </c>
      <c r="Y8" s="14">
        <f>Y7/Y120*100</f>
        <v>12.127639503972041</v>
      </c>
      <c r="Z8" s="14">
        <f t="shared" si="11"/>
        <v>11.878634738494201</v>
      </c>
      <c r="AA8" s="14">
        <f t="shared" si="11"/>
        <v>9.6487801818394345</v>
      </c>
      <c r="AB8" s="14"/>
      <c r="AC8" s="14"/>
      <c r="AD8" s="14">
        <f>AD7/AD120*100</f>
        <v>10.294294611322778</v>
      </c>
      <c r="AE8" s="14"/>
      <c r="AF8" s="14"/>
      <c r="AG8" s="14"/>
      <c r="AH8" s="14"/>
      <c r="AI8" s="14">
        <f>AI7/AI120*100</f>
        <v>6.0346156625892631</v>
      </c>
    </row>
    <row r="9" spans="1:35" ht="25.5" customHeight="1" x14ac:dyDescent="0.25">
      <c r="A9" s="12" t="s">
        <v>43</v>
      </c>
      <c r="B9" s="15" t="s">
        <v>44</v>
      </c>
      <c r="C9" s="14">
        <f>C10+C12+C11</f>
        <v>906.6</v>
      </c>
      <c r="D9" s="14">
        <f t="shared" ref="D9" si="13">D10+D12+D11</f>
        <v>930</v>
      </c>
      <c r="E9" s="14">
        <f>E10+E12+E11+E13</f>
        <v>1030</v>
      </c>
      <c r="F9" s="14">
        <f t="shared" ref="F9:AA9" si="14">F10+F12+F11</f>
        <v>1052.7891200000001</v>
      </c>
      <c r="G9" s="14">
        <f t="shared" si="14"/>
        <v>844</v>
      </c>
      <c r="H9" s="14">
        <f t="shared" si="14"/>
        <v>1167.8</v>
      </c>
      <c r="I9" s="14">
        <f t="shared" si="14"/>
        <v>1174.6583900000001</v>
      </c>
      <c r="J9" s="14">
        <f t="shared" si="14"/>
        <v>840</v>
      </c>
      <c r="K9" s="14">
        <f t="shared" si="14"/>
        <v>1178.3</v>
      </c>
      <c r="L9" s="14">
        <f>L10+L12+L11</f>
        <v>1232.5249600000002</v>
      </c>
      <c r="M9" s="14">
        <f>M10+M12+M11</f>
        <v>1816.1300100000001</v>
      </c>
      <c r="N9" s="14">
        <f t="shared" ref="N9:O9" si="15">N10+N12+N11</f>
        <v>1260</v>
      </c>
      <c r="O9" s="14">
        <f t="shared" si="15"/>
        <v>2545.3000000000002</v>
      </c>
      <c r="P9" s="14">
        <f>P10+P12+P11</f>
        <v>2561.6831099999999</v>
      </c>
      <c r="Q9" s="14">
        <f>Q10+Q12+Q11</f>
        <v>2561.6831099999999</v>
      </c>
      <c r="R9" s="14">
        <f t="shared" ref="R9:S9" si="16">R10+R12+R11</f>
        <v>1316.7</v>
      </c>
      <c r="S9" s="14">
        <f t="shared" si="16"/>
        <v>2121.1</v>
      </c>
      <c r="T9" s="14">
        <f>T10+T12+T11</f>
        <v>2169.6855700000001</v>
      </c>
      <c r="U9" s="14">
        <f>U10+U12+U11</f>
        <v>2169.6855700000001</v>
      </c>
      <c r="V9" s="14">
        <f t="shared" ref="V9:W9" si="17">V10+V12+V11</f>
        <v>1310</v>
      </c>
      <c r="W9" s="14">
        <f t="shared" si="17"/>
        <v>2211.63</v>
      </c>
      <c r="X9" s="14">
        <f>X10+X12+X11</f>
        <v>2284.8267800000003</v>
      </c>
      <c r="Y9" s="14">
        <f>Y10+Y12+Y11</f>
        <v>2284.8267800000003</v>
      </c>
      <c r="Z9" s="14">
        <f t="shared" si="14"/>
        <v>1110</v>
      </c>
      <c r="AA9" s="14">
        <f t="shared" si="14"/>
        <v>1187.8699999999999</v>
      </c>
      <c r="AB9" s="14">
        <f>AA9-Z9</f>
        <v>77.869999999999891</v>
      </c>
      <c r="AC9" s="14">
        <f>AA9/Z9*100</f>
        <v>107.01531531531529</v>
      </c>
      <c r="AD9" s="14">
        <f>AD10+AD12+AD11</f>
        <v>1271.7101400000001</v>
      </c>
      <c r="AE9" s="14">
        <f>AD9-AA9</f>
        <v>83.840140000000247</v>
      </c>
      <c r="AF9" s="14">
        <f>AD9/Z9*100</f>
        <v>114.56848108108109</v>
      </c>
      <c r="AG9" s="14">
        <f>AD9/AA9*100</f>
        <v>107.05802318435522</v>
      </c>
      <c r="AH9" s="14">
        <f t="shared" si="10"/>
        <v>55.658930083093651</v>
      </c>
      <c r="AI9" s="14">
        <f>AI10+AI12+AI11</f>
        <v>1271.7101400000001</v>
      </c>
    </row>
    <row r="10" spans="1:35" ht="68.25" customHeight="1" x14ac:dyDescent="0.25">
      <c r="A10" s="17" t="s">
        <v>45</v>
      </c>
      <c r="B10" s="18" t="s">
        <v>46</v>
      </c>
      <c r="C10" s="19">
        <v>906.6</v>
      </c>
      <c r="D10" s="19">
        <v>930</v>
      </c>
      <c r="E10" s="19">
        <v>1030</v>
      </c>
      <c r="F10" s="19">
        <f>1051.14696+0.65336+0.9888</f>
        <v>1052.7891200000001</v>
      </c>
      <c r="G10" s="19">
        <v>844</v>
      </c>
      <c r="H10" s="19">
        <v>1167.8</v>
      </c>
      <c r="I10" s="19">
        <v>1174.6583900000001</v>
      </c>
      <c r="J10" s="19">
        <v>840</v>
      </c>
      <c r="K10" s="19">
        <v>1177.3</v>
      </c>
      <c r="L10" s="19">
        <v>1231.4900600000001</v>
      </c>
      <c r="M10" s="19">
        <v>1816.1300100000001</v>
      </c>
      <c r="N10" s="19">
        <v>1260</v>
      </c>
      <c r="O10" s="19">
        <v>2543</v>
      </c>
      <c r="P10" s="19">
        <f>2555.76811+3.575</f>
        <v>2559.3431099999998</v>
      </c>
      <c r="Q10" s="19">
        <f>2555.76811+3.575</f>
        <v>2559.3431099999998</v>
      </c>
      <c r="R10" s="19">
        <v>1316.7</v>
      </c>
      <c r="S10" s="19">
        <v>2121</v>
      </c>
      <c r="T10" s="19">
        <v>2169.5855700000002</v>
      </c>
      <c r="U10" s="19">
        <v>2169.6855700000001</v>
      </c>
      <c r="V10" s="19">
        <v>1310</v>
      </c>
      <c r="W10" s="19">
        <v>2211.5</v>
      </c>
      <c r="X10" s="19">
        <v>2284.6444799999999</v>
      </c>
      <c r="Y10" s="19">
        <v>2284.7007800000001</v>
      </c>
      <c r="Z10" s="19">
        <v>1110</v>
      </c>
      <c r="AA10" s="19">
        <v>1168.8699999999999</v>
      </c>
      <c r="AB10" s="19">
        <f t="shared" ref="AB10" si="18">AA10-Z10</f>
        <v>58.869999999999891</v>
      </c>
      <c r="AC10" s="19">
        <f>AA10/Z10*100</f>
        <v>105.30360360360361</v>
      </c>
      <c r="AD10" s="19">
        <v>1253.43568</v>
      </c>
      <c r="AE10" s="19">
        <f>AD10-AA10</f>
        <v>84.565680000000157</v>
      </c>
      <c r="AF10" s="19">
        <f>AD10/Z10*100</f>
        <v>112.92213333333333</v>
      </c>
      <c r="AG10" s="19">
        <f>AD10/AA10*100</f>
        <v>107.23482337642341</v>
      </c>
      <c r="AH10" s="19">
        <f t="shared" si="10"/>
        <v>54.863489307535509</v>
      </c>
      <c r="AI10" s="19">
        <v>1253.43568</v>
      </c>
    </row>
    <row r="11" spans="1:35" ht="88.5" customHeight="1" x14ac:dyDescent="0.25">
      <c r="A11" s="17" t="s">
        <v>47</v>
      </c>
      <c r="B11" s="20" t="s">
        <v>48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f>56.3/1000</f>
        <v>5.6299999999999996E-2</v>
      </c>
      <c r="Y11" s="19">
        <v>0</v>
      </c>
      <c r="Z11" s="19">
        <v>0</v>
      </c>
      <c r="AA11" s="19">
        <v>0</v>
      </c>
      <c r="AB11" s="19">
        <f>AA11-Z11</f>
        <v>0</v>
      </c>
      <c r="AC11" s="19">
        <v>0</v>
      </c>
      <c r="AD11" s="19">
        <f>0.42/1000</f>
        <v>4.1999999999999996E-4</v>
      </c>
      <c r="AE11" s="19">
        <f>AD11-AA11</f>
        <v>4.1999999999999996E-4</v>
      </c>
      <c r="AF11" s="19">
        <v>100</v>
      </c>
      <c r="AG11" s="19">
        <v>100</v>
      </c>
      <c r="AH11" s="19">
        <f t="shared" si="10"/>
        <v>0.74600355239786853</v>
      </c>
      <c r="AI11" s="19">
        <f>0.42/1000</f>
        <v>4.1999999999999996E-4</v>
      </c>
    </row>
    <row r="12" spans="1:35" ht="29.25" customHeight="1" x14ac:dyDescent="0.25">
      <c r="A12" s="17" t="s">
        <v>49</v>
      </c>
      <c r="B12" s="18" t="s">
        <v>50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1.0348999999999999</v>
      </c>
      <c r="M12" s="19">
        <v>0</v>
      </c>
      <c r="N12" s="19">
        <v>0</v>
      </c>
      <c r="O12" s="19">
        <v>2.2999999999999998</v>
      </c>
      <c r="P12" s="19">
        <f>2.24+0.1</f>
        <v>2.3400000000000003</v>
      </c>
      <c r="Q12" s="19">
        <f>2.24+0.1</f>
        <v>2.3400000000000003</v>
      </c>
      <c r="R12" s="19">
        <v>0</v>
      </c>
      <c r="S12" s="19">
        <v>0.1</v>
      </c>
      <c r="T12" s="19">
        <v>0.1</v>
      </c>
      <c r="U12" s="19">
        <v>0</v>
      </c>
      <c r="V12" s="19">
        <v>0</v>
      </c>
      <c r="W12" s="19">
        <v>0.13</v>
      </c>
      <c r="X12" s="19">
        <v>0.126</v>
      </c>
      <c r="Y12" s="19">
        <v>0.126</v>
      </c>
      <c r="Z12" s="19">
        <v>0</v>
      </c>
      <c r="AA12" s="19">
        <v>19</v>
      </c>
      <c r="AB12" s="19">
        <f t="shared" ref="AB12" si="19">AA12-Z12</f>
        <v>19</v>
      </c>
      <c r="AC12" s="19">
        <v>100</v>
      </c>
      <c r="AD12" s="19">
        <v>18.274039999999999</v>
      </c>
      <c r="AE12" s="19">
        <f>AD12-AA12</f>
        <v>-0.7259600000000006</v>
      </c>
      <c r="AF12" s="19">
        <v>100</v>
      </c>
      <c r="AG12" s="19">
        <f>AD12/AA12*100</f>
        <v>96.179157894736846</v>
      </c>
      <c r="AH12" s="21">
        <f t="shared" si="10"/>
        <v>14503.206349206348</v>
      </c>
      <c r="AI12" s="19">
        <v>18.274039999999999</v>
      </c>
    </row>
    <row r="13" spans="1:35" ht="28.5" hidden="1" customHeight="1" x14ac:dyDescent="0.25">
      <c r="A13" s="17" t="s">
        <v>51</v>
      </c>
      <c r="B13" s="20" t="s">
        <v>52</v>
      </c>
      <c r="C13" s="19"/>
      <c r="D13" s="19">
        <v>0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 t="e">
        <f t="shared" si="10"/>
        <v>#DIV/0!</v>
      </c>
      <c r="AI13" s="19"/>
    </row>
    <row r="14" spans="1:35" ht="28.5" customHeight="1" x14ac:dyDescent="0.25">
      <c r="A14" s="22" t="s">
        <v>53</v>
      </c>
      <c r="B14" s="23" t="s">
        <v>54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4">
        <f>V15+V16+V17+V18</f>
        <v>3271</v>
      </c>
      <c r="W14" s="14">
        <f t="shared" ref="W14" si="20">W15+W16+W17+W18</f>
        <v>2571</v>
      </c>
      <c r="X14" s="14">
        <f>X15+X16+X17+X18</f>
        <v>2635.7636200000002</v>
      </c>
      <c r="Y14" s="14">
        <f>Y15+Y16+Y17+Y18</f>
        <v>2635.7636200000002</v>
      </c>
      <c r="Z14" s="14">
        <f>Z15+Z16+Z17+Z18</f>
        <v>2422</v>
      </c>
      <c r="AA14" s="14">
        <f t="shared" ref="AA14" si="21">AA15+AA16+AA17+AA18</f>
        <v>2622</v>
      </c>
      <c r="AB14" s="14">
        <f>AA14-Z14</f>
        <v>200</v>
      </c>
      <c r="AC14" s="14">
        <f>AA14/Z14*100</f>
        <v>108.25763831544177</v>
      </c>
      <c r="AD14" s="14">
        <f>AD15+AD16+AD17+AD18</f>
        <v>2838.9855000000002</v>
      </c>
      <c r="AE14" s="14">
        <f>AD14-AA14</f>
        <v>216.98550000000023</v>
      </c>
      <c r="AF14" s="14">
        <f>AD14/Z14*100</f>
        <v>117.21657720891825</v>
      </c>
      <c r="AG14" s="14">
        <f>AD14/AA14*100</f>
        <v>108.27557208237988</v>
      </c>
      <c r="AH14" s="14">
        <f t="shared" si="10"/>
        <v>107.71017091434018</v>
      </c>
      <c r="AI14" s="14">
        <f>AI15+AI16+AI17+AI18</f>
        <v>2838.9855000000002</v>
      </c>
    </row>
    <row r="15" spans="1:35" ht="78.75" customHeight="1" x14ac:dyDescent="0.25">
      <c r="A15" s="24" t="s">
        <v>55</v>
      </c>
      <c r="B15" s="25" t="s">
        <v>56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>
        <v>1112</v>
      </c>
      <c r="W15" s="19">
        <v>930</v>
      </c>
      <c r="X15" s="19">
        <v>1083.0336299999999</v>
      </c>
      <c r="Y15" s="19">
        <v>1083.0336299999999</v>
      </c>
      <c r="Z15" s="19">
        <v>824</v>
      </c>
      <c r="AA15" s="19">
        <v>1040</v>
      </c>
      <c r="AB15" s="19">
        <f t="shared" ref="AB15:AB18" si="22">AA15-Z15</f>
        <v>216</v>
      </c>
      <c r="AC15" s="19">
        <f>AA15/Z15*100</f>
        <v>126.21359223300972</v>
      </c>
      <c r="AD15" s="19">
        <v>1264.95361</v>
      </c>
      <c r="AE15" s="19">
        <f>AD15-AA15</f>
        <v>224.95361000000003</v>
      </c>
      <c r="AF15" s="19">
        <f>AD15/Z15*100</f>
        <v>153.51378762135923</v>
      </c>
      <c r="AG15" s="19">
        <f>AD15/AA15*100</f>
        <v>121.63015480769231</v>
      </c>
      <c r="AH15" s="19">
        <f t="shared" si="10"/>
        <v>116.79726048765448</v>
      </c>
      <c r="AI15" s="19">
        <v>1264.95361</v>
      </c>
    </row>
    <row r="16" spans="1:35" ht="28.5" customHeight="1" x14ac:dyDescent="0.25">
      <c r="A16" s="24" t="s">
        <v>57</v>
      </c>
      <c r="B16" s="25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>
        <v>33</v>
      </c>
      <c r="W16" s="19">
        <v>12</v>
      </c>
      <c r="X16" s="19">
        <v>10.99457</v>
      </c>
      <c r="Y16" s="19">
        <v>10.99457</v>
      </c>
      <c r="Z16" s="19">
        <v>24</v>
      </c>
      <c r="AA16" s="19">
        <v>8</v>
      </c>
      <c r="AB16" s="19">
        <f t="shared" si="22"/>
        <v>-16</v>
      </c>
      <c r="AC16" s="19">
        <f t="shared" ref="AC16:AC17" si="23">AA16/Z16*100</f>
        <v>33.333333333333329</v>
      </c>
      <c r="AD16" s="19">
        <v>12.18243</v>
      </c>
      <c r="AE16" s="19">
        <f t="shared" ref="AE16:AE31" si="24">AD16-AA16</f>
        <v>4.1824300000000001</v>
      </c>
      <c r="AF16" s="19">
        <f t="shared" ref="AF16:AF17" si="25">AD16/Z16*100</f>
        <v>50.760125000000002</v>
      </c>
      <c r="AG16" s="19">
        <f t="shared" ref="AG16:AG31" si="26">AD16/AA16*100</f>
        <v>152.28037499999999</v>
      </c>
      <c r="AH16" s="19">
        <f t="shared" si="10"/>
        <v>110.80406054988963</v>
      </c>
      <c r="AI16" s="19">
        <v>12.18243</v>
      </c>
    </row>
    <row r="17" spans="1:35" ht="28.5" customHeight="1" x14ac:dyDescent="0.25">
      <c r="A17" s="24" t="s">
        <v>59</v>
      </c>
      <c r="B17" s="25" t="s">
        <v>60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2126</v>
      </c>
      <c r="W17" s="19">
        <v>1629</v>
      </c>
      <c r="X17" s="19">
        <v>1751.4933900000001</v>
      </c>
      <c r="Y17" s="19">
        <v>1751.4933900000001</v>
      </c>
      <c r="Z17" s="19">
        <v>1574</v>
      </c>
      <c r="AA17" s="19">
        <v>1574</v>
      </c>
      <c r="AB17" s="19">
        <f t="shared" si="22"/>
        <v>0</v>
      </c>
      <c r="AC17" s="19">
        <f t="shared" si="23"/>
        <v>100</v>
      </c>
      <c r="AD17" s="19">
        <v>1845.2710300000001</v>
      </c>
      <c r="AE17" s="19">
        <f t="shared" si="24"/>
        <v>271.27103000000011</v>
      </c>
      <c r="AF17" s="19">
        <f t="shared" si="25"/>
        <v>117.2345</v>
      </c>
      <c r="AG17" s="19">
        <f t="shared" si="26"/>
        <v>117.2345</v>
      </c>
      <c r="AH17" s="19">
        <f t="shared" si="10"/>
        <v>105.35415323491458</v>
      </c>
      <c r="AI17" s="19">
        <v>1845.2710300000001</v>
      </c>
    </row>
    <row r="18" spans="1:35" ht="28.5" customHeight="1" x14ac:dyDescent="0.25">
      <c r="A18" s="24" t="s">
        <v>61</v>
      </c>
      <c r="B18" s="25" t="s">
        <v>62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-209.75797</v>
      </c>
      <c r="Y18" s="19">
        <v>-209.75797</v>
      </c>
      <c r="Z18" s="19">
        <v>0</v>
      </c>
      <c r="AA18" s="19">
        <v>0</v>
      </c>
      <c r="AB18" s="19">
        <f t="shared" si="22"/>
        <v>0</v>
      </c>
      <c r="AC18" s="19">
        <v>0</v>
      </c>
      <c r="AD18" s="19">
        <v>-283.42156999999997</v>
      </c>
      <c r="AE18" s="19">
        <f t="shared" si="24"/>
        <v>-283.42156999999997</v>
      </c>
      <c r="AF18" s="19">
        <v>100</v>
      </c>
      <c r="AG18" s="19">
        <v>100</v>
      </c>
      <c r="AH18" s="19">
        <f t="shared" si="10"/>
        <v>135.11837953046552</v>
      </c>
      <c r="AI18" s="19">
        <v>-283.42156999999997</v>
      </c>
    </row>
    <row r="19" spans="1:35" s="29" customFormat="1" ht="31.5" customHeight="1" x14ac:dyDescent="0.25">
      <c r="A19" s="26" t="s">
        <v>63</v>
      </c>
      <c r="B19" s="27" t="s">
        <v>64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0.51</v>
      </c>
      <c r="X19" s="14">
        <v>0.50610999999999995</v>
      </c>
      <c r="Y19" s="14">
        <v>0.50610999999999995</v>
      </c>
      <c r="Z19" s="14">
        <v>0</v>
      </c>
      <c r="AA19" s="14">
        <v>14</v>
      </c>
      <c r="AB19" s="14">
        <f>AA19-Z19</f>
        <v>14</v>
      </c>
      <c r="AC19" s="14">
        <v>100</v>
      </c>
      <c r="AD19" s="14">
        <v>13.59995</v>
      </c>
      <c r="AE19" s="14">
        <f t="shared" si="24"/>
        <v>-0.40005000000000024</v>
      </c>
      <c r="AF19" s="14">
        <v>100</v>
      </c>
      <c r="AG19" s="14">
        <f t="shared" si="26"/>
        <v>97.142499999999998</v>
      </c>
      <c r="AH19" s="28">
        <f t="shared" si="10"/>
        <v>2687.15299045662</v>
      </c>
      <c r="AI19" s="14">
        <v>13.59995</v>
      </c>
    </row>
    <row r="20" spans="1:35" ht="27" customHeight="1" x14ac:dyDescent="0.25">
      <c r="A20" s="12" t="s">
        <v>65</v>
      </c>
      <c r="B20" s="13" t="s">
        <v>66</v>
      </c>
      <c r="C20" s="14">
        <f t="shared" ref="C20:AA20" si="27">C24+C21</f>
        <v>1343.82</v>
      </c>
      <c r="D20" s="14">
        <f t="shared" si="27"/>
        <v>90</v>
      </c>
      <c r="E20" s="14">
        <f t="shared" si="27"/>
        <v>48.800000000000004</v>
      </c>
      <c r="F20" s="14">
        <f t="shared" si="27"/>
        <v>48.320880000000002</v>
      </c>
      <c r="G20" s="14">
        <f t="shared" si="27"/>
        <v>85</v>
      </c>
      <c r="H20" s="14">
        <f t="shared" si="27"/>
        <v>54.699999999999996</v>
      </c>
      <c r="I20" s="14">
        <f t="shared" si="27"/>
        <v>57.57882</v>
      </c>
      <c r="J20" s="14">
        <f t="shared" si="27"/>
        <v>55</v>
      </c>
      <c r="K20" s="14">
        <f t="shared" si="27"/>
        <v>59.6</v>
      </c>
      <c r="L20" s="14">
        <f>L24+L21</f>
        <v>53.50573</v>
      </c>
      <c r="M20" s="14">
        <f>M24+M21</f>
        <v>53.50573</v>
      </c>
      <c r="N20" s="14">
        <f t="shared" ref="N20:O20" si="28">N24+N21</f>
        <v>63</v>
      </c>
      <c r="O20" s="14">
        <f t="shared" si="28"/>
        <v>71.7</v>
      </c>
      <c r="P20" s="14">
        <f>P24+P21</f>
        <v>72.68352999999999</v>
      </c>
      <c r="Q20" s="14">
        <f>Q24+Q21</f>
        <v>72.683530000000005</v>
      </c>
      <c r="R20" s="14">
        <f t="shared" ref="R20:S20" si="29">R24+R21</f>
        <v>49</v>
      </c>
      <c r="S20" s="14">
        <f t="shared" si="29"/>
        <v>100</v>
      </c>
      <c r="T20" s="14">
        <f>T24+T21</f>
        <v>102.53510000000001</v>
      </c>
      <c r="U20" s="14">
        <f>U24+U21</f>
        <v>102.53510000000001</v>
      </c>
      <c r="V20" s="14">
        <f t="shared" ref="V20:W20" si="30">V24+V21</f>
        <v>77</v>
      </c>
      <c r="W20" s="14">
        <f t="shared" si="30"/>
        <v>168.15</v>
      </c>
      <c r="X20" s="14">
        <f>X24+X21</f>
        <v>176.91199</v>
      </c>
      <c r="Y20" s="14">
        <f>Y24+Y21</f>
        <v>176.91199</v>
      </c>
      <c r="Z20" s="14">
        <f t="shared" si="27"/>
        <v>99</v>
      </c>
      <c r="AA20" s="14">
        <f t="shared" si="27"/>
        <v>222.74</v>
      </c>
      <c r="AB20" s="14">
        <f t="shared" ref="AB20:AB28" si="31">AA20-Z20</f>
        <v>123.74000000000001</v>
      </c>
      <c r="AC20" s="14">
        <f t="shared" ref="AC20:AC29" si="32">AA20/Z20*100</f>
        <v>224.98989898989899</v>
      </c>
      <c r="AD20" s="14">
        <f>AD24+AD21</f>
        <v>233.40836999999999</v>
      </c>
      <c r="AE20" s="14">
        <f t="shared" si="24"/>
        <v>10.668369999999982</v>
      </c>
      <c r="AF20" s="14">
        <f t="shared" ref="AF20:AF29" si="33">AD20/Z20*100</f>
        <v>235.76603030303028</v>
      </c>
      <c r="AG20" s="14">
        <f t="shared" si="26"/>
        <v>104.78960671635089</v>
      </c>
      <c r="AH20" s="14">
        <f t="shared" si="10"/>
        <v>131.93473771902063</v>
      </c>
      <c r="AI20" s="14">
        <f>AI24+AI21</f>
        <v>234.14088999999998</v>
      </c>
    </row>
    <row r="21" spans="1:35" ht="26.25" customHeight="1" x14ac:dyDescent="0.25">
      <c r="A21" s="12" t="s">
        <v>67</v>
      </c>
      <c r="B21" s="13" t="s">
        <v>68</v>
      </c>
      <c r="C21" s="14">
        <f t="shared" ref="C21:AA21" si="34">C22</f>
        <v>8.8000000000000007</v>
      </c>
      <c r="D21" s="14">
        <f t="shared" si="34"/>
        <v>6</v>
      </c>
      <c r="E21" s="14">
        <f t="shared" si="34"/>
        <v>9.1</v>
      </c>
      <c r="F21" s="14">
        <f t="shared" si="34"/>
        <v>9.064919999999999</v>
      </c>
      <c r="G21" s="14">
        <f t="shared" si="34"/>
        <v>9</v>
      </c>
      <c r="H21" s="14">
        <f t="shared" si="34"/>
        <v>14.9</v>
      </c>
      <c r="I21" s="14">
        <f t="shared" si="34"/>
        <v>14.9033</v>
      </c>
      <c r="J21" s="14">
        <f t="shared" si="34"/>
        <v>13</v>
      </c>
      <c r="K21" s="14">
        <f t="shared" si="34"/>
        <v>17.600000000000001</v>
      </c>
      <c r="L21" s="14">
        <f>L22</f>
        <v>20.032900000000001</v>
      </c>
      <c r="M21" s="14">
        <f>M22</f>
        <v>20.032900000000001</v>
      </c>
      <c r="N21" s="14">
        <f t="shared" si="34"/>
        <v>17</v>
      </c>
      <c r="O21" s="14">
        <f t="shared" si="34"/>
        <v>21.2</v>
      </c>
      <c r="P21" s="14">
        <f>P22</f>
        <v>22.103739999999998</v>
      </c>
      <c r="Q21" s="14">
        <f>Q22</f>
        <v>22.103739999999998</v>
      </c>
      <c r="R21" s="14">
        <f t="shared" si="34"/>
        <v>12</v>
      </c>
      <c r="S21" s="14">
        <f t="shared" si="34"/>
        <v>16</v>
      </c>
      <c r="T21" s="14">
        <f>T22</f>
        <v>15.641260000000001</v>
      </c>
      <c r="U21" s="14">
        <f>U22</f>
        <v>15.641260000000001</v>
      </c>
      <c r="V21" s="14">
        <f t="shared" si="34"/>
        <v>23</v>
      </c>
      <c r="W21" s="14">
        <f t="shared" si="34"/>
        <v>56</v>
      </c>
      <c r="X21" s="14">
        <f>X22</f>
        <v>59.476129999999998</v>
      </c>
      <c r="Y21" s="14">
        <f>Y22</f>
        <v>59.476129999999998</v>
      </c>
      <c r="Z21" s="14">
        <f t="shared" si="34"/>
        <v>27</v>
      </c>
      <c r="AA21" s="14">
        <f t="shared" si="34"/>
        <v>152</v>
      </c>
      <c r="AB21" s="14">
        <f t="shared" si="31"/>
        <v>125</v>
      </c>
      <c r="AC21" s="14">
        <f t="shared" si="32"/>
        <v>562.96296296296293</v>
      </c>
      <c r="AD21" s="14">
        <f>AD22</f>
        <v>155.93997999999999</v>
      </c>
      <c r="AE21" s="14">
        <f t="shared" si="24"/>
        <v>3.9399799999999914</v>
      </c>
      <c r="AF21" s="14">
        <f t="shared" si="33"/>
        <v>577.55548148148148</v>
      </c>
      <c r="AG21" s="14">
        <f t="shared" si="26"/>
        <v>102.59209210526315</v>
      </c>
      <c r="AH21" s="14">
        <f t="shared" si="10"/>
        <v>262.1891841315163</v>
      </c>
      <c r="AI21" s="14">
        <f>AI22</f>
        <v>150.70348999999999</v>
      </c>
    </row>
    <row r="22" spans="1:35" ht="38.25" customHeight="1" x14ac:dyDescent="0.25">
      <c r="A22" s="11" t="s">
        <v>69</v>
      </c>
      <c r="B22" s="30" t="s">
        <v>70</v>
      </c>
      <c r="C22" s="19">
        <v>8.8000000000000007</v>
      </c>
      <c r="D22" s="19">
        <v>6</v>
      </c>
      <c r="E22" s="19">
        <v>9.1</v>
      </c>
      <c r="F22" s="19">
        <f>9.00855+0.05637</f>
        <v>9.064919999999999</v>
      </c>
      <c r="G22" s="19">
        <v>9</v>
      </c>
      <c r="H22" s="19">
        <v>14.9</v>
      </c>
      <c r="I22" s="19">
        <f>14.73749+0.16581</f>
        <v>14.9033</v>
      </c>
      <c r="J22" s="19">
        <v>13</v>
      </c>
      <c r="K22" s="19">
        <v>17.600000000000001</v>
      </c>
      <c r="L22" s="19">
        <v>20.032900000000001</v>
      </c>
      <c r="M22" s="19">
        <v>20.032900000000001</v>
      </c>
      <c r="N22" s="19">
        <v>17</v>
      </c>
      <c r="O22" s="19">
        <v>21.2</v>
      </c>
      <c r="P22" s="19">
        <f>21.88934+0.20461+9.79/1000</f>
        <v>22.103739999999998</v>
      </c>
      <c r="Q22" s="19">
        <v>22.103739999999998</v>
      </c>
      <c r="R22" s="19">
        <v>12</v>
      </c>
      <c r="S22" s="19">
        <v>16</v>
      </c>
      <c r="T22" s="19">
        <v>15.641260000000001</v>
      </c>
      <c r="U22" s="19">
        <v>15.641260000000001</v>
      </c>
      <c r="V22" s="19">
        <v>23</v>
      </c>
      <c r="W22" s="19">
        <v>56</v>
      </c>
      <c r="X22" s="19">
        <v>59.476129999999998</v>
      </c>
      <c r="Y22" s="19">
        <v>59.476129999999998</v>
      </c>
      <c r="Z22" s="19">
        <v>27</v>
      </c>
      <c r="AA22" s="19">
        <v>152</v>
      </c>
      <c r="AB22" s="19">
        <f t="shared" si="31"/>
        <v>125</v>
      </c>
      <c r="AC22" s="19">
        <f t="shared" si="32"/>
        <v>562.96296296296293</v>
      </c>
      <c r="AD22" s="19">
        <v>155.93997999999999</v>
      </c>
      <c r="AE22" s="19">
        <f t="shared" si="24"/>
        <v>3.9399799999999914</v>
      </c>
      <c r="AF22" s="19">
        <f t="shared" si="33"/>
        <v>577.55548148148148</v>
      </c>
      <c r="AG22" s="19">
        <f t="shared" si="26"/>
        <v>102.59209210526315</v>
      </c>
      <c r="AH22" s="19">
        <f t="shared" si="10"/>
        <v>262.1891841315163</v>
      </c>
      <c r="AI22" s="19">
        <f>149.201+1.50249</f>
        <v>150.70348999999999</v>
      </c>
    </row>
    <row r="23" spans="1:35" ht="0.75" hidden="1" customHeight="1" x14ac:dyDescent="0.25">
      <c r="A23" s="11"/>
      <c r="B23" s="30" t="s">
        <v>71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 t="e">
        <f t="shared" si="10"/>
        <v>#DIV/0!</v>
      </c>
      <c r="AI23" s="19">
        <f>-6.98596-2.04294</f>
        <v>-9.0289000000000001</v>
      </c>
    </row>
    <row r="24" spans="1:35" ht="24.75" customHeight="1" x14ac:dyDescent="0.25">
      <c r="A24" s="12" t="s">
        <v>72</v>
      </c>
      <c r="B24" s="13" t="s">
        <v>73</v>
      </c>
      <c r="C24" s="14">
        <f t="shared" ref="C24:AA24" si="35">C25+C26</f>
        <v>1335.02</v>
      </c>
      <c r="D24" s="14">
        <f t="shared" si="35"/>
        <v>84</v>
      </c>
      <c r="E24" s="14">
        <f t="shared" si="35"/>
        <v>39.700000000000003</v>
      </c>
      <c r="F24" s="14">
        <f t="shared" si="35"/>
        <v>39.255960000000002</v>
      </c>
      <c r="G24" s="14">
        <f t="shared" si="35"/>
        <v>76</v>
      </c>
      <c r="H24" s="14">
        <f t="shared" si="35"/>
        <v>39.799999999999997</v>
      </c>
      <c r="I24" s="14">
        <f t="shared" si="35"/>
        <v>42.675519999999999</v>
      </c>
      <c r="J24" s="14">
        <f t="shared" si="35"/>
        <v>42</v>
      </c>
      <c r="K24" s="14">
        <f t="shared" si="35"/>
        <v>42</v>
      </c>
      <c r="L24" s="14">
        <f>L25+L26</f>
        <v>33.472830000000002</v>
      </c>
      <c r="M24" s="14">
        <f>M25+M26</f>
        <v>33.472830000000002</v>
      </c>
      <c r="N24" s="14">
        <f t="shared" ref="N24:O24" si="36">N25+N26</f>
        <v>46</v>
      </c>
      <c r="O24" s="14">
        <f t="shared" si="36"/>
        <v>50.5</v>
      </c>
      <c r="P24" s="14">
        <f>P25+P26</f>
        <v>50.579789999999996</v>
      </c>
      <c r="Q24" s="14">
        <f>Q25+Q26</f>
        <v>50.579790000000003</v>
      </c>
      <c r="R24" s="14">
        <f t="shared" ref="R24:S24" si="37">R25+R26</f>
        <v>37</v>
      </c>
      <c r="S24" s="14">
        <f t="shared" si="37"/>
        <v>84</v>
      </c>
      <c r="T24" s="14">
        <f>T25+T26</f>
        <v>86.893840000000012</v>
      </c>
      <c r="U24" s="14">
        <f>U25+U26</f>
        <v>86.893840000000012</v>
      </c>
      <c r="V24" s="14">
        <f t="shared" ref="V24:W24" si="38">V25+V26</f>
        <v>54</v>
      </c>
      <c r="W24" s="14">
        <f t="shared" si="38"/>
        <v>112.15</v>
      </c>
      <c r="X24" s="14">
        <f>X25+X26</f>
        <v>117.43585999999999</v>
      </c>
      <c r="Y24" s="14">
        <f>Y25+Y26</f>
        <v>117.43585999999999</v>
      </c>
      <c r="Z24" s="14">
        <f t="shared" si="35"/>
        <v>72</v>
      </c>
      <c r="AA24" s="14">
        <f t="shared" si="35"/>
        <v>70.740000000000009</v>
      </c>
      <c r="AB24" s="14">
        <f t="shared" si="31"/>
        <v>-1.2599999999999909</v>
      </c>
      <c r="AC24" s="14">
        <f t="shared" si="32"/>
        <v>98.250000000000014</v>
      </c>
      <c r="AD24" s="14">
        <f>AD25+AD26</f>
        <v>77.468389999999999</v>
      </c>
      <c r="AE24" s="14">
        <f t="shared" si="24"/>
        <v>6.7283899999999903</v>
      </c>
      <c r="AF24" s="14">
        <f t="shared" si="33"/>
        <v>107.59498611111111</v>
      </c>
      <c r="AG24" s="14">
        <f t="shared" si="26"/>
        <v>109.51143624540569</v>
      </c>
      <c r="AH24" s="14">
        <f t="shared" si="10"/>
        <v>65.966553998071802</v>
      </c>
      <c r="AI24" s="14">
        <f>AI25+AI26</f>
        <v>83.437399999999997</v>
      </c>
    </row>
    <row r="25" spans="1:35" ht="39.75" customHeight="1" x14ac:dyDescent="0.25">
      <c r="A25" s="11" t="s">
        <v>74</v>
      </c>
      <c r="B25" s="30" t="s">
        <v>75</v>
      </c>
      <c r="C25" s="19">
        <v>39.799999999999997</v>
      </c>
      <c r="D25" s="19">
        <v>30</v>
      </c>
      <c r="E25" s="19">
        <v>22</v>
      </c>
      <c r="F25" s="19">
        <f>20.64664+0.94416</f>
        <v>21.590800000000002</v>
      </c>
      <c r="G25" s="19">
        <v>30</v>
      </c>
      <c r="H25" s="19">
        <v>18</v>
      </c>
      <c r="I25" s="19">
        <f>17.31356+0.45383+0.3781</f>
        <v>18.145489999999999</v>
      </c>
      <c r="J25" s="19">
        <v>25</v>
      </c>
      <c r="K25" s="19">
        <v>25</v>
      </c>
      <c r="L25" s="19">
        <v>21.94491</v>
      </c>
      <c r="M25" s="19">
        <v>21.94491</v>
      </c>
      <c r="N25" s="19">
        <v>40</v>
      </c>
      <c r="O25" s="19">
        <v>14.8</v>
      </c>
      <c r="P25" s="19">
        <v>14.814</v>
      </c>
      <c r="Q25" s="19">
        <v>14.814</v>
      </c>
      <c r="R25" s="19">
        <v>25</v>
      </c>
      <c r="S25" s="19">
        <v>50</v>
      </c>
      <c r="T25" s="19">
        <v>52.541260000000001</v>
      </c>
      <c r="U25" s="19">
        <v>52.541260000000001</v>
      </c>
      <c r="V25" s="19">
        <v>42</v>
      </c>
      <c r="W25" s="19">
        <v>55</v>
      </c>
      <c r="X25" s="19">
        <v>58.004919999999998</v>
      </c>
      <c r="Y25" s="19">
        <v>58.004919999999998</v>
      </c>
      <c r="Z25" s="19">
        <v>52</v>
      </c>
      <c r="AA25" s="19">
        <v>35.14</v>
      </c>
      <c r="AB25" s="19">
        <f t="shared" si="31"/>
        <v>-16.86</v>
      </c>
      <c r="AC25" s="19">
        <f t="shared" si="32"/>
        <v>67.57692307692308</v>
      </c>
      <c r="AD25" s="19">
        <v>38.189</v>
      </c>
      <c r="AE25" s="19">
        <f t="shared" si="24"/>
        <v>3.0489999999999995</v>
      </c>
      <c r="AF25" s="19">
        <f t="shared" si="33"/>
        <v>73.440384615384616</v>
      </c>
      <c r="AG25" s="19">
        <f t="shared" si="26"/>
        <v>108.67672168468981</v>
      </c>
      <c r="AH25" s="19">
        <f t="shared" si="10"/>
        <v>65.837518610490292</v>
      </c>
      <c r="AI25" s="19">
        <f>30.823-0.02704+1</f>
        <v>31.795960000000001</v>
      </c>
    </row>
    <row r="26" spans="1:35" ht="38.25" customHeight="1" x14ac:dyDescent="0.25">
      <c r="A26" s="11" t="s">
        <v>76</v>
      </c>
      <c r="B26" s="30" t="s">
        <v>77</v>
      </c>
      <c r="C26" s="19">
        <v>1295.22</v>
      </c>
      <c r="D26" s="19">
        <v>54</v>
      </c>
      <c r="E26" s="19">
        <v>17.7</v>
      </c>
      <c r="F26" s="19">
        <f>17.38932+0.01659+0.2+0.05925</f>
        <v>17.66516</v>
      </c>
      <c r="G26" s="19">
        <v>46</v>
      </c>
      <c r="H26" s="19">
        <v>21.8</v>
      </c>
      <c r="I26" s="19">
        <f>9.12036+12.40967+3</f>
        <v>24.53003</v>
      </c>
      <c r="J26" s="19">
        <v>17</v>
      </c>
      <c r="K26" s="19">
        <v>17</v>
      </c>
      <c r="L26" s="19">
        <v>11.52792</v>
      </c>
      <c r="M26" s="19">
        <v>11.52792</v>
      </c>
      <c r="N26" s="19">
        <v>6</v>
      </c>
      <c r="O26" s="19">
        <v>35.700000000000003</v>
      </c>
      <c r="P26" s="19">
        <f>34.38856+1.37723</f>
        <v>35.765789999999996</v>
      </c>
      <c r="Q26" s="19">
        <v>35.765790000000003</v>
      </c>
      <c r="R26" s="19">
        <v>12</v>
      </c>
      <c r="S26" s="19">
        <v>34</v>
      </c>
      <c r="T26" s="19">
        <v>34.352580000000003</v>
      </c>
      <c r="U26" s="19">
        <v>34.352580000000003</v>
      </c>
      <c r="V26" s="19">
        <v>12</v>
      </c>
      <c r="W26" s="19">
        <v>57.15</v>
      </c>
      <c r="X26" s="19">
        <v>59.43094</v>
      </c>
      <c r="Y26" s="19">
        <v>59.43094</v>
      </c>
      <c r="Z26" s="19">
        <v>20</v>
      </c>
      <c r="AA26" s="19">
        <v>35.6</v>
      </c>
      <c r="AB26" s="19">
        <f t="shared" si="31"/>
        <v>15.600000000000001</v>
      </c>
      <c r="AC26" s="19">
        <f t="shared" si="32"/>
        <v>178</v>
      </c>
      <c r="AD26" s="19">
        <v>39.279389999999999</v>
      </c>
      <c r="AE26" s="19">
        <f t="shared" si="24"/>
        <v>3.6793899999999979</v>
      </c>
      <c r="AF26" s="19">
        <f t="shared" si="33"/>
        <v>196.39695</v>
      </c>
      <c r="AG26" s="19">
        <f t="shared" si="26"/>
        <v>110.33536516853933</v>
      </c>
      <c r="AH26" s="19">
        <f t="shared" si="10"/>
        <v>66.092493236687815</v>
      </c>
      <c r="AI26" s="19">
        <f>47.14173+4.49971</f>
        <v>51.641440000000003</v>
      </c>
    </row>
    <row r="27" spans="1:35" ht="27" hidden="1" customHeight="1" x14ac:dyDescent="0.25">
      <c r="A27" s="11"/>
      <c r="B27" s="30" t="s">
        <v>71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 t="e">
        <f t="shared" si="10"/>
        <v>#DIV/0!</v>
      </c>
      <c r="AI27" s="19">
        <f>-38.86705-23.8459</f>
        <v>-62.712949999999999</v>
      </c>
    </row>
    <row r="28" spans="1:35" ht="21" x14ac:dyDescent="0.25">
      <c r="A28" s="12" t="s">
        <v>78</v>
      </c>
      <c r="B28" s="13" t="s">
        <v>79</v>
      </c>
      <c r="C28" s="14">
        <f>C29+C30</f>
        <v>30.52</v>
      </c>
      <c r="D28" s="14">
        <f t="shared" ref="D28:AA28" si="39">D29+D30</f>
        <v>30</v>
      </c>
      <c r="E28" s="14">
        <f t="shared" si="39"/>
        <v>29</v>
      </c>
      <c r="F28" s="14">
        <f t="shared" si="39"/>
        <v>27.36</v>
      </c>
      <c r="G28" s="14">
        <f t="shared" si="39"/>
        <v>31</v>
      </c>
      <c r="H28" s="14">
        <f t="shared" si="39"/>
        <v>34.799999999999997</v>
      </c>
      <c r="I28" s="14">
        <f t="shared" si="39"/>
        <v>38.105110000000003</v>
      </c>
      <c r="J28" s="14">
        <f t="shared" si="39"/>
        <v>31</v>
      </c>
      <c r="K28" s="14">
        <f t="shared" si="39"/>
        <v>54.4</v>
      </c>
      <c r="L28" s="14">
        <f>L29+L30</f>
        <v>58.53</v>
      </c>
      <c r="M28" s="14">
        <f>M29+M30</f>
        <v>38.130000000000003</v>
      </c>
      <c r="N28" s="14">
        <f t="shared" ref="N28:O28" si="40">N29+N30</f>
        <v>31</v>
      </c>
      <c r="O28" s="14">
        <f t="shared" si="40"/>
        <v>33.700000000000003</v>
      </c>
      <c r="P28" s="14">
        <f>P29+P30</f>
        <v>33.72</v>
      </c>
      <c r="Q28" s="14">
        <f>Q29+Q30</f>
        <v>33.72</v>
      </c>
      <c r="R28" s="14">
        <f t="shared" ref="R28:S28" si="41">R29+R30</f>
        <v>31</v>
      </c>
      <c r="S28" s="14">
        <f t="shared" si="41"/>
        <v>16</v>
      </c>
      <c r="T28" s="14">
        <f>T29+T30</f>
        <v>16.88</v>
      </c>
      <c r="U28" s="14">
        <f>U29+U30</f>
        <v>16.88</v>
      </c>
      <c r="V28" s="14">
        <f t="shared" ref="V28:W28" si="42">V29+V30</f>
        <v>30</v>
      </c>
      <c r="W28" s="14">
        <f t="shared" si="42"/>
        <v>11.2</v>
      </c>
      <c r="X28" s="14">
        <f>X29+X30</f>
        <v>11.148759999999999</v>
      </c>
      <c r="Y28" s="14">
        <f>Y29+Y30</f>
        <v>11.148759999999999</v>
      </c>
      <c r="Z28" s="14">
        <f t="shared" si="39"/>
        <v>17</v>
      </c>
      <c r="AA28" s="14">
        <f t="shared" si="39"/>
        <v>14.55</v>
      </c>
      <c r="AB28" s="14">
        <f t="shared" si="31"/>
        <v>-2.4499999999999993</v>
      </c>
      <c r="AC28" s="14">
        <f t="shared" si="32"/>
        <v>85.588235294117652</v>
      </c>
      <c r="AD28" s="14">
        <f>AD29+AD30</f>
        <v>14.85</v>
      </c>
      <c r="AE28" s="14">
        <f t="shared" si="24"/>
        <v>0.29999999999999893</v>
      </c>
      <c r="AF28" s="14">
        <f t="shared" si="33"/>
        <v>87.352941176470594</v>
      </c>
      <c r="AG28" s="14">
        <f t="shared" si="26"/>
        <v>102.06185567010309</v>
      </c>
      <c r="AH28" s="14">
        <f t="shared" si="10"/>
        <v>133.19866962783306</v>
      </c>
      <c r="AI28" s="14">
        <f>AI29+AI30</f>
        <v>14.85</v>
      </c>
    </row>
    <row r="29" spans="1:35" ht="65.25" customHeight="1" x14ac:dyDescent="0.25">
      <c r="A29" s="11" t="s">
        <v>80</v>
      </c>
      <c r="B29" s="30" t="s">
        <v>81</v>
      </c>
      <c r="C29" s="19">
        <v>30.52</v>
      </c>
      <c r="D29" s="19">
        <v>30</v>
      </c>
      <c r="E29" s="19">
        <v>29</v>
      </c>
      <c r="F29" s="19">
        <v>27.36</v>
      </c>
      <c r="G29" s="19">
        <v>31</v>
      </c>
      <c r="H29" s="19">
        <v>29.8</v>
      </c>
      <c r="I29" s="19">
        <v>33.105110000000003</v>
      </c>
      <c r="J29" s="19">
        <v>31</v>
      </c>
      <c r="K29" s="19">
        <v>34</v>
      </c>
      <c r="L29" s="19">
        <v>38.130000000000003</v>
      </c>
      <c r="M29" s="19">
        <v>38.130000000000003</v>
      </c>
      <c r="N29" s="19">
        <v>31</v>
      </c>
      <c r="O29" s="19">
        <v>33.700000000000003</v>
      </c>
      <c r="P29" s="19">
        <v>33.72</v>
      </c>
      <c r="Q29" s="19">
        <v>33.72</v>
      </c>
      <c r="R29" s="19">
        <v>31</v>
      </c>
      <c r="S29" s="19">
        <v>16</v>
      </c>
      <c r="T29" s="19">
        <v>16.88</v>
      </c>
      <c r="U29" s="19">
        <v>16.88</v>
      </c>
      <c r="V29" s="19">
        <v>30</v>
      </c>
      <c r="W29" s="19">
        <v>11.2</v>
      </c>
      <c r="X29" s="19">
        <v>11.148759999999999</v>
      </c>
      <c r="Y29" s="19">
        <v>11.148759999999999</v>
      </c>
      <c r="Z29" s="19">
        <v>17</v>
      </c>
      <c r="AA29" s="19">
        <v>14.55</v>
      </c>
      <c r="AB29" s="19">
        <f>AA29-Z29</f>
        <v>-2.4499999999999993</v>
      </c>
      <c r="AC29" s="19">
        <f t="shared" si="32"/>
        <v>85.588235294117652</v>
      </c>
      <c r="AD29" s="19">
        <v>14.85</v>
      </c>
      <c r="AE29" s="19">
        <f t="shared" si="24"/>
        <v>0.29999999999999893</v>
      </c>
      <c r="AF29" s="19">
        <f t="shared" si="33"/>
        <v>87.352941176470594</v>
      </c>
      <c r="AG29" s="19">
        <f t="shared" si="26"/>
        <v>102.06185567010309</v>
      </c>
      <c r="AH29" s="19">
        <f t="shared" si="10"/>
        <v>133.19866962783306</v>
      </c>
      <c r="AI29" s="19">
        <v>14.85</v>
      </c>
    </row>
    <row r="30" spans="1:35" ht="56.25" hidden="1" customHeight="1" x14ac:dyDescent="0.25">
      <c r="A30" s="11" t="s">
        <v>82</v>
      </c>
      <c r="B30" s="30" t="s">
        <v>83</v>
      </c>
      <c r="C30" s="19">
        <v>0</v>
      </c>
      <c r="D30" s="19"/>
      <c r="E30" s="19">
        <v>0</v>
      </c>
      <c r="F30" s="19">
        <v>0</v>
      </c>
      <c r="G30" s="19">
        <v>0</v>
      </c>
      <c r="H30" s="19">
        <v>5</v>
      </c>
      <c r="I30" s="19">
        <v>5</v>
      </c>
      <c r="J30" s="19">
        <v>0</v>
      </c>
      <c r="K30" s="19">
        <v>20.399999999999999</v>
      </c>
      <c r="L30" s="19">
        <v>20.399999999999999</v>
      </c>
      <c r="M30" s="19">
        <v>0</v>
      </c>
      <c r="N30" s="19"/>
      <c r="O30" s="19"/>
      <c r="P30" s="19"/>
      <c r="Q30" s="19"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 t="e">
        <f t="shared" si="10"/>
        <v>#DIV/0!</v>
      </c>
      <c r="AI30" s="19"/>
    </row>
    <row r="31" spans="1:35" s="16" customFormat="1" ht="24.75" customHeight="1" x14ac:dyDescent="0.25">
      <c r="A31" s="12"/>
      <c r="B31" s="15" t="s">
        <v>84</v>
      </c>
      <c r="C31" s="14">
        <f t="shared" ref="C31:AA31" si="43">C33+C40+C44+C50+C58</f>
        <v>105.89999999999999</v>
      </c>
      <c r="D31" s="14">
        <f t="shared" si="43"/>
        <v>117</v>
      </c>
      <c r="E31" s="14">
        <f t="shared" si="43"/>
        <v>473.1</v>
      </c>
      <c r="F31" s="14">
        <f t="shared" si="43"/>
        <v>480.66142000000002</v>
      </c>
      <c r="G31" s="14">
        <f t="shared" si="43"/>
        <v>156.80000000000001</v>
      </c>
      <c r="H31" s="14">
        <f t="shared" si="43"/>
        <v>427.6</v>
      </c>
      <c r="I31" s="14">
        <f t="shared" si="43"/>
        <v>427.65496999999999</v>
      </c>
      <c r="J31" s="14">
        <f t="shared" si="43"/>
        <v>492.9</v>
      </c>
      <c r="K31" s="14">
        <f t="shared" si="43"/>
        <v>1284.5</v>
      </c>
      <c r="L31" s="14">
        <f>L33+L40+L44+L50+L58</f>
        <v>1216.7059199999999</v>
      </c>
      <c r="M31" s="14">
        <f>M33+M40+M44+M50+M58</f>
        <v>653.50086999999996</v>
      </c>
      <c r="N31" s="14">
        <f t="shared" ref="N31:O31" si="44">N33+N40+N44+N50+N58</f>
        <v>447.6</v>
      </c>
      <c r="O31" s="14">
        <f t="shared" si="44"/>
        <v>324.8</v>
      </c>
      <c r="P31" s="14">
        <f>P33+P40+P44+P50+P58</f>
        <v>324.66320999999999</v>
      </c>
      <c r="Q31" s="14">
        <f>Q33+Q40+Q44+Q50+Q58</f>
        <v>-26540.791450000001</v>
      </c>
      <c r="R31" s="14">
        <f t="shared" ref="R31:S31" si="45">R33+R40+R44+R50+R58</f>
        <v>230</v>
      </c>
      <c r="S31" s="14">
        <f t="shared" si="45"/>
        <v>770</v>
      </c>
      <c r="T31" s="14">
        <f>T33+T40+T44+T50+T58</f>
        <v>938.53109999999992</v>
      </c>
      <c r="U31" s="14">
        <f>U33+U40+U44+U50+U58</f>
        <v>-7917.4894799999993</v>
      </c>
      <c r="V31" s="14">
        <f t="shared" ref="V31:W31" si="46">V33+V40+V44+V50+V58</f>
        <v>199</v>
      </c>
      <c r="W31" s="14">
        <f t="shared" si="46"/>
        <v>784.12</v>
      </c>
      <c r="X31" s="14">
        <f>X33+X40+X44+X50+X58</f>
        <v>809.49589000000003</v>
      </c>
      <c r="Y31" s="14">
        <f>Y33+Y40+Y44+Y50+Y58</f>
        <v>-1512.6491700000001</v>
      </c>
      <c r="Z31" s="14">
        <f t="shared" si="43"/>
        <v>393</v>
      </c>
      <c r="AA31" s="14">
        <f t="shared" si="43"/>
        <v>915.4799999999999</v>
      </c>
      <c r="AB31" s="14">
        <f>AA31-Z31</f>
        <v>522.4799999999999</v>
      </c>
      <c r="AC31" s="14">
        <f>AA31/Z31*100</f>
        <v>232.94656488549617</v>
      </c>
      <c r="AD31" s="14">
        <f>AD33+AD40+AD44+AD50+AD58</f>
        <v>989.71141999999998</v>
      </c>
      <c r="AE31" s="14">
        <f t="shared" si="24"/>
        <v>74.231420000000071</v>
      </c>
      <c r="AF31" s="14">
        <f>AD31/Z31*100</f>
        <v>251.83496692111959</v>
      </c>
      <c r="AG31" s="14">
        <f t="shared" si="26"/>
        <v>108.10846987372744</v>
      </c>
      <c r="AH31" s="14">
        <f t="shared" si="10"/>
        <v>122.26268622562122</v>
      </c>
      <c r="AI31" s="14">
        <f>AI33+AI40+AI44+AI50+AI58</f>
        <v>984.91334999999992</v>
      </c>
    </row>
    <row r="32" spans="1:35" s="16" customFormat="1" ht="18.75" customHeight="1" x14ac:dyDescent="0.25">
      <c r="A32" s="12"/>
      <c r="B32" s="15" t="s">
        <v>42</v>
      </c>
      <c r="C32" s="14">
        <f t="shared" ref="C32:AA32" si="47">C31/C120*100</f>
        <v>0.29197210698652026</v>
      </c>
      <c r="D32" s="14">
        <f t="shared" si="47"/>
        <v>0.48388097355197585</v>
      </c>
      <c r="E32" s="14">
        <f t="shared" si="47"/>
        <v>1.1499262185365384</v>
      </c>
      <c r="F32" s="14">
        <f t="shared" si="47"/>
        <v>1.1675039948145818</v>
      </c>
      <c r="G32" s="14">
        <f t="shared" si="47"/>
        <v>0.46515491319877061</v>
      </c>
      <c r="H32" s="14">
        <f t="shared" si="47"/>
        <v>1.0658185316829267</v>
      </c>
      <c r="I32" s="14">
        <f t="shared" si="47"/>
        <v>1.0656070095697048</v>
      </c>
      <c r="J32" s="14">
        <f t="shared" si="47"/>
        <v>1.6300842987396529</v>
      </c>
      <c r="K32" s="14">
        <f t="shared" si="47"/>
        <v>3.493222957096858</v>
      </c>
      <c r="L32" s="14">
        <f t="shared" si="47"/>
        <v>3.3102484435665449</v>
      </c>
      <c r="M32" s="14">
        <f t="shared" si="47"/>
        <v>0.6461385228487746</v>
      </c>
      <c r="N32" s="14">
        <f t="shared" si="47"/>
        <v>1.6867397235495396</v>
      </c>
      <c r="O32" s="14">
        <f t="shared" si="47"/>
        <v>0.91555370139644499</v>
      </c>
      <c r="P32" s="14">
        <f t="shared" si="47"/>
        <v>0.91534019235547204</v>
      </c>
      <c r="Q32" s="14">
        <f t="shared" si="47"/>
        <v>-38.849425538108825</v>
      </c>
      <c r="R32" s="14">
        <f t="shared" si="47"/>
        <v>0.84201894176523773</v>
      </c>
      <c r="S32" s="14">
        <f t="shared" si="47"/>
        <v>2.2165908659759923</v>
      </c>
      <c r="T32" s="14">
        <f>T31/T120*100</f>
        <v>2.6838815616857348</v>
      </c>
      <c r="U32" s="14"/>
      <c r="V32" s="14">
        <f t="shared" ref="V32:W32" si="48">V31/V120*100</f>
        <v>0.69681774889349546</v>
      </c>
      <c r="W32" s="14">
        <f t="shared" si="48"/>
        <v>1.7702499485825605</v>
      </c>
      <c r="X32" s="14">
        <f>X31/X120*100</f>
        <v>1.8211236235972539</v>
      </c>
      <c r="Y32" s="14"/>
      <c r="Z32" s="14">
        <f t="shared" si="47"/>
        <v>1.2796884463344904</v>
      </c>
      <c r="AA32" s="14">
        <f t="shared" si="47"/>
        <v>2.175059658046067</v>
      </c>
      <c r="AB32" s="14"/>
      <c r="AC32" s="14"/>
      <c r="AD32" s="14">
        <f>AD31/AD120*100</f>
        <v>2.3300755189927065</v>
      </c>
      <c r="AE32" s="14"/>
      <c r="AF32" s="14"/>
      <c r="AG32" s="14"/>
      <c r="AH32" s="14"/>
      <c r="AI32" s="14"/>
    </row>
    <row r="33" spans="1:36" ht="40.5" customHeight="1" x14ac:dyDescent="0.25">
      <c r="A33" s="12" t="s">
        <v>85</v>
      </c>
      <c r="B33" s="13" t="s">
        <v>86</v>
      </c>
      <c r="C33" s="14">
        <f t="shared" ref="C33:K33" si="49">C34+C39+C36</f>
        <v>97.8</v>
      </c>
      <c r="D33" s="14">
        <f t="shared" si="49"/>
        <v>117</v>
      </c>
      <c r="E33" s="14">
        <f t="shared" si="49"/>
        <v>199.5</v>
      </c>
      <c r="F33" s="14">
        <f t="shared" si="49"/>
        <v>205.87162000000001</v>
      </c>
      <c r="G33" s="14">
        <f t="shared" si="49"/>
        <v>156</v>
      </c>
      <c r="H33" s="14">
        <f t="shared" si="49"/>
        <v>323.5</v>
      </c>
      <c r="I33" s="14">
        <f t="shared" si="49"/>
        <v>323.56542000000002</v>
      </c>
      <c r="J33" s="14">
        <f t="shared" si="49"/>
        <v>375.4</v>
      </c>
      <c r="K33" s="14">
        <f t="shared" si="49"/>
        <v>573.4</v>
      </c>
      <c r="L33" s="14">
        <f>L34+L39+L36</f>
        <v>506.48577</v>
      </c>
      <c r="M33" s="14">
        <f>M34+M39+M36</f>
        <v>563.50086999999996</v>
      </c>
      <c r="N33" s="14">
        <f t="shared" ref="N33:O33" si="50">N34+N39+N36</f>
        <v>330.1</v>
      </c>
      <c r="O33" s="14">
        <f t="shared" si="50"/>
        <v>221.5</v>
      </c>
      <c r="P33" s="14">
        <f>P34+P39+P36</f>
        <v>221.39320999999998</v>
      </c>
      <c r="Q33" s="14">
        <f>Q34+Q39+Q36</f>
        <v>221.39320999999998</v>
      </c>
      <c r="R33" s="14">
        <f t="shared" ref="R33:S33" si="51">R34+R39+R36</f>
        <v>120</v>
      </c>
      <c r="S33" s="14">
        <f t="shared" si="51"/>
        <v>470</v>
      </c>
      <c r="T33" s="14">
        <f>T34+T39+T36</f>
        <v>636.56110000000001</v>
      </c>
      <c r="U33" s="14">
        <f>U34+U39+U36</f>
        <v>876.12477999999999</v>
      </c>
      <c r="V33" s="14">
        <f>V34+V39+V36+V38</f>
        <v>89</v>
      </c>
      <c r="W33" s="14">
        <f>W34+W39+W36+W37</f>
        <v>531.27</v>
      </c>
      <c r="X33" s="14">
        <f>X34+X39+X36+X37</f>
        <v>555.51445000000001</v>
      </c>
      <c r="Y33" s="14">
        <f>Y34+Y39+Y36+Y37</f>
        <v>345.20605999999998</v>
      </c>
      <c r="Z33" s="14">
        <f>Z34+Z39+Z36+Z38+Z37</f>
        <v>283</v>
      </c>
      <c r="AA33" s="14">
        <f>AA34+AA39+AA36+AA37</f>
        <v>528.78</v>
      </c>
      <c r="AB33" s="14">
        <f t="shared" ref="AB33" si="52">AA33-Z33</f>
        <v>245.77999999999997</v>
      </c>
      <c r="AC33" s="14">
        <f>AA33/Z33*100</f>
        <v>186.84805653710245</v>
      </c>
      <c r="AD33" s="14">
        <f>AD34+AD39+AD36+AD37</f>
        <v>528.77643999999998</v>
      </c>
      <c r="AE33" s="14">
        <f>AD33-AA33</f>
        <v>-3.5599999999931242E-3</v>
      </c>
      <c r="AF33" s="14">
        <f>AD33/Z33*100</f>
        <v>186.84679858657242</v>
      </c>
      <c r="AG33" s="14">
        <f>AD33/AA33*100</f>
        <v>99.999326752146459</v>
      </c>
      <c r="AH33" s="14">
        <f t="shared" si="10"/>
        <v>95.186802071485261</v>
      </c>
      <c r="AI33" s="14">
        <f>AI34+AI39+AI36+AI37</f>
        <v>602.13022000000001</v>
      </c>
    </row>
    <row r="34" spans="1:36" ht="77.25" hidden="1" customHeight="1" x14ac:dyDescent="0.25">
      <c r="A34" s="11" t="s">
        <v>87</v>
      </c>
      <c r="B34" s="30" t="s">
        <v>88</v>
      </c>
      <c r="C34" s="19">
        <v>3.1</v>
      </c>
      <c r="D34" s="19">
        <v>0</v>
      </c>
      <c r="E34" s="19">
        <v>82.1</v>
      </c>
      <c r="F34" s="19">
        <v>88.150850000000005</v>
      </c>
      <c r="G34" s="19">
        <v>100</v>
      </c>
      <c r="H34" s="19">
        <v>217.1</v>
      </c>
      <c r="I34" s="19">
        <v>217.18673000000001</v>
      </c>
      <c r="J34" s="19">
        <v>255.04</v>
      </c>
      <c r="K34" s="19">
        <v>303</v>
      </c>
      <c r="L34" s="19">
        <v>305.66901000000001</v>
      </c>
      <c r="M34" s="19">
        <v>0</v>
      </c>
      <c r="N34" s="19">
        <v>201</v>
      </c>
      <c r="O34" s="19">
        <v>0</v>
      </c>
      <c r="P34" s="19"/>
      <c r="Q34" s="19"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 t="e">
        <f t="shared" si="10"/>
        <v>#DIV/0!</v>
      </c>
      <c r="AI34" s="19"/>
      <c r="AJ34" s="3">
        <f>(F34+I34+L34+F48+I48+L48)/3</f>
        <v>220.96701333333331</v>
      </c>
    </row>
    <row r="35" spans="1:36" ht="52.5" hidden="1" customHeight="1" x14ac:dyDescent="0.25">
      <c r="A35" s="11" t="s">
        <v>89</v>
      </c>
      <c r="B35" s="30" t="s">
        <v>90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 t="e">
        <f t="shared" si="10"/>
        <v>#DIV/0!</v>
      </c>
      <c r="AI35" s="19"/>
    </row>
    <row r="36" spans="1:36" ht="49.5" customHeight="1" x14ac:dyDescent="0.25">
      <c r="A36" s="11" t="s">
        <v>91</v>
      </c>
      <c r="B36" s="30" t="s">
        <v>92</v>
      </c>
      <c r="C36" s="19">
        <v>0</v>
      </c>
      <c r="D36" s="19">
        <v>61</v>
      </c>
      <c r="E36" s="19">
        <v>61.4</v>
      </c>
      <c r="F36" s="19">
        <v>61.359769999999997</v>
      </c>
      <c r="G36" s="19">
        <v>0</v>
      </c>
      <c r="H36" s="19">
        <v>0</v>
      </c>
      <c r="I36" s="19">
        <v>0</v>
      </c>
      <c r="J36" s="19">
        <v>0</v>
      </c>
      <c r="K36" s="19">
        <v>150</v>
      </c>
      <c r="L36" s="19">
        <v>115.99536000000001</v>
      </c>
      <c r="M36" s="19">
        <v>478.67946999999998</v>
      </c>
      <c r="N36" s="19">
        <v>0</v>
      </c>
      <c r="O36" s="19">
        <v>19.399999999999999</v>
      </c>
      <c r="P36" s="19">
        <v>19.357959999999999</v>
      </c>
      <c r="Q36" s="19">
        <v>19.357959999999999</v>
      </c>
      <c r="R36" s="19">
        <v>0</v>
      </c>
      <c r="S36" s="19">
        <v>0</v>
      </c>
      <c r="T36" s="19">
        <v>66.25</v>
      </c>
      <c r="U36" s="19">
        <v>66.25</v>
      </c>
      <c r="V36" s="19">
        <v>0</v>
      </c>
      <c r="W36" s="19">
        <v>0</v>
      </c>
      <c r="X36" s="19">
        <v>-66.25</v>
      </c>
      <c r="Y36" s="19">
        <v>-66.25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6" ht="40.5" customHeight="1" x14ac:dyDescent="0.25">
      <c r="A37" s="11" t="s">
        <v>93</v>
      </c>
      <c r="B37" s="30" t="s">
        <v>94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>
        <v>161</v>
      </c>
      <c r="W37" s="19">
        <v>355.64</v>
      </c>
      <c r="X37" s="19">
        <v>421.49500999999998</v>
      </c>
      <c r="Y37" s="19">
        <v>447.50833999999998</v>
      </c>
      <c r="Z37" s="19">
        <v>194</v>
      </c>
      <c r="AA37" s="19">
        <v>245.78</v>
      </c>
      <c r="AB37" s="19">
        <f>AA37-Z37</f>
        <v>51.78</v>
      </c>
      <c r="AC37" s="19">
        <f t="shared" ref="AC37:AC39" si="53">AA37/Z37*100</f>
        <v>126.69072164948454</v>
      </c>
      <c r="AD37" s="19">
        <v>245.78022999999999</v>
      </c>
      <c r="AE37" s="19">
        <f t="shared" ref="AE37:AE38" si="54">AD37-AA37</f>
        <v>2.2999999998774001E-4</v>
      </c>
      <c r="AF37" s="19">
        <f t="shared" ref="AF37:AF39" si="55">AD37/Z37*100</f>
        <v>126.69084020618556</v>
      </c>
      <c r="AG37" s="19">
        <f t="shared" ref="AG37:AG39" si="56">AD37/AA37*100</f>
        <v>100.00009357962405</v>
      </c>
      <c r="AH37" s="19">
        <f t="shared" si="10"/>
        <v>58.311539678725978</v>
      </c>
      <c r="AI37" s="19">
        <v>222.55840000000001</v>
      </c>
    </row>
    <row r="38" spans="1:36" ht="54" hidden="1" customHeight="1" x14ac:dyDescent="0.25">
      <c r="A38" s="11" t="s">
        <v>95</v>
      </c>
      <c r="B38" s="30" t="s">
        <v>96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>
        <v>0</v>
      </c>
      <c r="W38" s="19">
        <v>0</v>
      </c>
      <c r="X38" s="19">
        <v>0</v>
      </c>
      <c r="Y38" s="19"/>
      <c r="Z38" s="19">
        <v>0</v>
      </c>
      <c r="AA38" s="19">
        <v>0</v>
      </c>
      <c r="AB38" s="19">
        <f>AA38-Z38</f>
        <v>0</v>
      </c>
      <c r="AC38" s="19" t="e">
        <f t="shared" si="53"/>
        <v>#DIV/0!</v>
      </c>
      <c r="AD38" s="19">
        <v>0</v>
      </c>
      <c r="AE38" s="19">
        <f t="shared" si="54"/>
        <v>0</v>
      </c>
      <c r="AF38" s="19" t="e">
        <f t="shared" si="55"/>
        <v>#DIV/0!</v>
      </c>
      <c r="AG38" s="19" t="e">
        <f t="shared" si="56"/>
        <v>#DIV/0!</v>
      </c>
      <c r="AH38" s="19" t="e">
        <f t="shared" si="10"/>
        <v>#DIV/0!</v>
      </c>
      <c r="AI38" s="19"/>
    </row>
    <row r="39" spans="1:36" ht="78.75" customHeight="1" x14ac:dyDescent="0.25">
      <c r="A39" s="11" t="s">
        <v>97</v>
      </c>
      <c r="B39" s="30" t="s">
        <v>98</v>
      </c>
      <c r="C39" s="19">
        <v>94.7</v>
      </c>
      <c r="D39" s="19">
        <v>56</v>
      </c>
      <c r="E39" s="19">
        <v>56</v>
      </c>
      <c r="F39" s="19">
        <v>56.360999999999997</v>
      </c>
      <c r="G39" s="19">
        <v>56</v>
      </c>
      <c r="H39" s="19">
        <v>106.4</v>
      </c>
      <c r="I39" s="19">
        <v>106.37869000000001</v>
      </c>
      <c r="J39" s="19">
        <v>120.36</v>
      </c>
      <c r="K39" s="19">
        <v>120.4</v>
      </c>
      <c r="L39" s="19">
        <v>84.821399999999997</v>
      </c>
      <c r="M39" s="19">
        <v>84.821399999999997</v>
      </c>
      <c r="N39" s="19">
        <v>129.1</v>
      </c>
      <c r="O39" s="19">
        <v>202.1</v>
      </c>
      <c r="P39" s="19">
        <v>202.03524999999999</v>
      </c>
      <c r="Q39" s="19">
        <v>202.03524999999999</v>
      </c>
      <c r="R39" s="19">
        <v>120</v>
      </c>
      <c r="S39" s="19">
        <v>470</v>
      </c>
      <c r="T39" s="19">
        <v>570.31110000000001</v>
      </c>
      <c r="U39" s="19">
        <v>809.87477999999999</v>
      </c>
      <c r="V39" s="19">
        <v>89</v>
      </c>
      <c r="W39" s="19">
        <v>175.63</v>
      </c>
      <c r="X39" s="19">
        <v>200.26944</v>
      </c>
      <c r="Y39" s="19">
        <v>-36.052280000000003</v>
      </c>
      <c r="Z39" s="19">
        <v>89</v>
      </c>
      <c r="AA39" s="19">
        <v>283</v>
      </c>
      <c r="AB39" s="19">
        <f t="shared" ref="AB39:AB41" si="57">AA39-Z39</f>
        <v>194</v>
      </c>
      <c r="AC39" s="19">
        <f t="shared" si="53"/>
        <v>317.97752808988764</v>
      </c>
      <c r="AD39" s="19">
        <v>282.99621000000002</v>
      </c>
      <c r="AE39" s="19">
        <f>AD39-AA39</f>
        <v>-3.7899999999808642E-3</v>
      </c>
      <c r="AF39" s="19">
        <f t="shared" si="55"/>
        <v>317.97326966292138</v>
      </c>
      <c r="AG39" s="19">
        <f t="shared" si="56"/>
        <v>99.998660777385169</v>
      </c>
      <c r="AH39" s="19">
        <f t="shared" si="10"/>
        <v>141.30773521911283</v>
      </c>
      <c r="AI39" s="19">
        <v>379.57182</v>
      </c>
      <c r="AJ39" s="31"/>
    </row>
    <row r="40" spans="1:36" ht="35.25" customHeight="1" x14ac:dyDescent="0.25">
      <c r="A40" s="12" t="s">
        <v>99</v>
      </c>
      <c r="B40" s="13" t="s">
        <v>100</v>
      </c>
      <c r="C40" s="14">
        <f>C41</f>
        <v>14.5</v>
      </c>
      <c r="D40" s="14">
        <f>D41</f>
        <v>0</v>
      </c>
      <c r="E40" s="14">
        <f>E41</f>
        <v>90</v>
      </c>
      <c r="F40" s="14">
        <f>F41+F42</f>
        <v>90</v>
      </c>
      <c r="G40" s="14">
        <f>G41</f>
        <v>0</v>
      </c>
      <c r="H40" s="14">
        <f>H41</f>
        <v>90</v>
      </c>
      <c r="I40" s="14">
        <f>I41+I42</f>
        <v>90</v>
      </c>
      <c r="J40" s="14">
        <f>J41</f>
        <v>90</v>
      </c>
      <c r="K40" s="14">
        <f>K41</f>
        <v>90</v>
      </c>
      <c r="L40" s="14">
        <f>L41+L42</f>
        <v>90</v>
      </c>
      <c r="M40" s="14">
        <f>M41+M42</f>
        <v>90</v>
      </c>
      <c r="N40" s="14">
        <f>N41</f>
        <v>90</v>
      </c>
      <c r="O40" s="14">
        <f>O41</f>
        <v>103.3</v>
      </c>
      <c r="P40" s="14">
        <f>P41+P42</f>
        <v>103.27</v>
      </c>
      <c r="Q40" s="14">
        <f>Q41+Q42</f>
        <v>103.27</v>
      </c>
      <c r="R40" s="14">
        <f>R41</f>
        <v>110</v>
      </c>
      <c r="S40" s="14">
        <f>S41</f>
        <v>110</v>
      </c>
      <c r="T40" s="14">
        <f>T41+T42</f>
        <v>112.02</v>
      </c>
      <c r="U40" s="14">
        <f>U41+U42</f>
        <v>112.02</v>
      </c>
      <c r="V40" s="14">
        <f>V41</f>
        <v>110</v>
      </c>
      <c r="W40" s="14">
        <f>W41</f>
        <v>111.71</v>
      </c>
      <c r="X40" s="14">
        <f>X41+X42</f>
        <v>111.71</v>
      </c>
      <c r="Y40" s="14">
        <f>Y41+Y42</f>
        <v>111.71</v>
      </c>
      <c r="Z40" s="14">
        <f>Z41</f>
        <v>110</v>
      </c>
      <c r="AA40" s="14">
        <f>AA41</f>
        <v>128.54</v>
      </c>
      <c r="AB40" s="14">
        <f t="shared" si="57"/>
        <v>18.539999999999992</v>
      </c>
      <c r="AC40" s="14">
        <v>100</v>
      </c>
      <c r="AD40" s="14">
        <f>AD41+AD42</f>
        <v>128.54</v>
      </c>
      <c r="AE40" s="14">
        <f t="shared" ref="AE40:AE46" si="58">AD40-AA40</f>
        <v>0</v>
      </c>
      <c r="AF40" s="14">
        <v>100</v>
      </c>
      <c r="AG40" s="14">
        <f>AD40/AA40*100</f>
        <v>100</v>
      </c>
      <c r="AH40" s="14">
        <f t="shared" si="10"/>
        <v>115.06579536299346</v>
      </c>
      <c r="AI40" s="14">
        <f>AI41+AI42</f>
        <v>128.54</v>
      </c>
    </row>
    <row r="41" spans="1:36" ht="33" hidden="1" customHeight="1" x14ac:dyDescent="0.25">
      <c r="A41" s="11" t="s">
        <v>101</v>
      </c>
      <c r="B41" s="32" t="s">
        <v>102</v>
      </c>
      <c r="C41" s="19">
        <v>14.5</v>
      </c>
      <c r="D41" s="19">
        <v>0</v>
      </c>
      <c r="E41" s="19">
        <v>90</v>
      </c>
      <c r="F41" s="19">
        <v>90</v>
      </c>
      <c r="G41" s="19">
        <v>0</v>
      </c>
      <c r="H41" s="19">
        <v>90</v>
      </c>
      <c r="I41" s="19">
        <v>90</v>
      </c>
      <c r="J41" s="19">
        <v>90</v>
      </c>
      <c r="K41" s="19">
        <v>90</v>
      </c>
      <c r="L41" s="19">
        <v>90</v>
      </c>
      <c r="M41" s="19">
        <v>90</v>
      </c>
      <c r="N41" s="19">
        <v>90</v>
      </c>
      <c r="O41" s="19">
        <v>103.3</v>
      </c>
      <c r="P41" s="19">
        <v>103.27</v>
      </c>
      <c r="Q41" s="19">
        <v>103.27</v>
      </c>
      <c r="R41" s="19">
        <v>110</v>
      </c>
      <c r="S41" s="19">
        <v>110</v>
      </c>
      <c r="T41" s="19">
        <v>112.02</v>
      </c>
      <c r="U41" s="19">
        <v>112.02</v>
      </c>
      <c r="V41" s="19">
        <v>110</v>
      </c>
      <c r="W41" s="19">
        <v>111.71</v>
      </c>
      <c r="X41" s="19">
        <v>111.71</v>
      </c>
      <c r="Y41" s="19">
        <v>111.71</v>
      </c>
      <c r="Z41" s="19">
        <v>110</v>
      </c>
      <c r="AA41" s="19">
        <v>128.54</v>
      </c>
      <c r="AB41" s="19">
        <f t="shared" si="57"/>
        <v>18.539999999999992</v>
      </c>
      <c r="AC41" s="19">
        <v>100</v>
      </c>
      <c r="AD41" s="19">
        <v>128.54</v>
      </c>
      <c r="AE41" s="19">
        <f>AD41-AA41</f>
        <v>0</v>
      </c>
      <c r="AF41" s="19">
        <f t="shared" ref="AF41" si="59">AD41/Z41*100</f>
        <v>116.85454545454546</v>
      </c>
      <c r="AG41" s="19">
        <f t="shared" ref="AG41" si="60">AD41/AA41*100</f>
        <v>100</v>
      </c>
      <c r="AH41" s="19">
        <f t="shared" si="10"/>
        <v>115.06579536299346</v>
      </c>
      <c r="AI41" s="19">
        <v>128.54</v>
      </c>
    </row>
    <row r="42" spans="1:36" ht="39.75" hidden="1" customHeight="1" x14ac:dyDescent="0.25">
      <c r="A42" s="11" t="s">
        <v>103</v>
      </c>
      <c r="B42" s="32" t="s">
        <v>104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f t="shared" si="58"/>
        <v>0</v>
      </c>
      <c r="AF42" s="19">
        <v>0</v>
      </c>
      <c r="AG42" s="19">
        <v>0</v>
      </c>
      <c r="AH42" s="19" t="e">
        <f t="shared" si="10"/>
        <v>#DIV/0!</v>
      </c>
      <c r="AI42" s="19">
        <v>0</v>
      </c>
    </row>
    <row r="43" spans="1:36" ht="39.75" hidden="1" customHeight="1" x14ac:dyDescent="0.25">
      <c r="A43" s="11"/>
      <c r="B43" s="3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 t="e">
        <f t="shared" si="10"/>
        <v>#DIV/0!</v>
      </c>
      <c r="AI43" s="19"/>
    </row>
    <row r="44" spans="1:36" ht="29.25" customHeight="1" x14ac:dyDescent="0.25">
      <c r="A44" s="12" t="s">
        <v>105</v>
      </c>
      <c r="B44" s="13" t="s">
        <v>106</v>
      </c>
      <c r="C44" s="14">
        <f>C48+C45</f>
        <v>2</v>
      </c>
      <c r="D44" s="14">
        <f>D48+D45</f>
        <v>0</v>
      </c>
      <c r="E44" s="14">
        <f>E48+E45+E46</f>
        <v>183.6</v>
      </c>
      <c r="F44" s="14">
        <f>F48+F45+F46</f>
        <v>184.78979999999999</v>
      </c>
      <c r="G44" s="14">
        <f>G48+G45</f>
        <v>0.8</v>
      </c>
      <c r="H44" s="14">
        <f>H48+H45+H46</f>
        <v>14.1</v>
      </c>
      <c r="I44" s="14">
        <f>I48+I45+I46</f>
        <v>14.089549999999999</v>
      </c>
      <c r="J44" s="14">
        <f>J48+J45</f>
        <v>27.5</v>
      </c>
      <c r="K44" s="14">
        <f>K48+K45+K46</f>
        <v>37.5</v>
      </c>
      <c r="L44" s="14">
        <f>L48+L45+L46</f>
        <v>36.615099999999998</v>
      </c>
      <c r="M44" s="14">
        <f>M48+M45+M46</f>
        <v>0</v>
      </c>
      <c r="N44" s="14">
        <f>N48+N45</f>
        <v>27.5</v>
      </c>
      <c r="O44" s="14">
        <f>O48+O45+O46</f>
        <v>0</v>
      </c>
      <c r="P44" s="14"/>
      <c r="Q44" s="14">
        <f>Q48+Q45+Q46</f>
        <v>-26865.454659999999</v>
      </c>
      <c r="R44" s="14">
        <f>R48+R45</f>
        <v>0</v>
      </c>
      <c r="S44" s="14">
        <f>S48+S45+S46</f>
        <v>190</v>
      </c>
      <c r="T44" s="14">
        <f>T45</f>
        <v>189.95</v>
      </c>
      <c r="U44" s="14">
        <f>U48+U45+U46</f>
        <v>-8905.6342599999989</v>
      </c>
      <c r="V44" s="14">
        <f>V48+V45</f>
        <v>0</v>
      </c>
      <c r="W44" s="14">
        <f>W48+W45+W46</f>
        <v>106</v>
      </c>
      <c r="X44" s="14">
        <f>X45</f>
        <v>106</v>
      </c>
      <c r="Y44" s="14">
        <f>Y48+Y45+Y46</f>
        <v>-2005.8366700000001</v>
      </c>
      <c r="Z44" s="14">
        <f>Z48+Z45</f>
        <v>0</v>
      </c>
      <c r="AA44" s="14">
        <f>AA48+AA45+AA46</f>
        <v>256.77999999999997</v>
      </c>
      <c r="AB44" s="14">
        <f t="shared" ref="AB44:AB45" si="61">AA44-Z44</f>
        <v>256.77999999999997</v>
      </c>
      <c r="AC44" s="14">
        <v>100</v>
      </c>
      <c r="AD44" s="14">
        <f>AD45</f>
        <v>256.77965999999998</v>
      </c>
      <c r="AE44" s="14">
        <f t="shared" ref="AE44" si="62">AD44-AA44</f>
        <v>-3.399999999942338E-4</v>
      </c>
      <c r="AF44" s="14">
        <v>100</v>
      </c>
      <c r="AG44" s="14">
        <f>AD44/AA44*100</f>
        <v>99.999867590933874</v>
      </c>
      <c r="AH44" s="14">
        <f t="shared" si="10"/>
        <v>242.24496226415093</v>
      </c>
      <c r="AI44" s="14">
        <f>AI48+AI45+AI46+AI23+AI27</f>
        <v>178.62780999999998</v>
      </c>
    </row>
    <row r="45" spans="1:36" ht="81" customHeight="1" x14ac:dyDescent="0.25">
      <c r="A45" s="11" t="s">
        <v>107</v>
      </c>
      <c r="B45" s="30" t="s">
        <v>108</v>
      </c>
      <c r="C45" s="19">
        <v>0</v>
      </c>
      <c r="D45" s="19">
        <v>0</v>
      </c>
      <c r="E45" s="19">
        <v>183.6</v>
      </c>
      <c r="F45" s="19">
        <v>183.6</v>
      </c>
      <c r="G45" s="19">
        <v>0</v>
      </c>
      <c r="H45" s="19">
        <v>0</v>
      </c>
      <c r="I45" s="19"/>
      <c r="J45" s="19"/>
      <c r="K45" s="19"/>
      <c r="L45" s="19"/>
      <c r="M45" s="19"/>
      <c r="N45" s="19"/>
      <c r="O45" s="19"/>
      <c r="P45" s="19"/>
      <c r="Q45" s="19">
        <v>-26865.454659999999</v>
      </c>
      <c r="R45" s="19"/>
      <c r="S45" s="19">
        <v>190</v>
      </c>
      <c r="T45" s="19">
        <v>189.95</v>
      </c>
      <c r="U45" s="19">
        <f>-9095.58426+189.95</f>
        <v>-8905.6342599999989</v>
      </c>
      <c r="V45" s="19"/>
      <c r="W45" s="19">
        <v>106</v>
      </c>
      <c r="X45" s="19">
        <v>106</v>
      </c>
      <c r="Y45" s="19">
        <f>-2111.83667+106</f>
        <v>-2005.8366700000001</v>
      </c>
      <c r="Z45" s="19">
        <v>0</v>
      </c>
      <c r="AA45" s="19">
        <v>256.77999999999997</v>
      </c>
      <c r="AB45" s="19">
        <f t="shared" si="61"/>
        <v>256.77999999999997</v>
      </c>
      <c r="AC45" s="19">
        <v>100</v>
      </c>
      <c r="AD45" s="19">
        <v>256.77965999999998</v>
      </c>
      <c r="AE45" s="19">
        <f>AD45-AA45</f>
        <v>-3.399999999942338E-4</v>
      </c>
      <c r="AF45" s="19">
        <v>100</v>
      </c>
      <c r="AG45" s="19">
        <f t="shared" ref="AG45" si="63">AD45/AA45*100</f>
        <v>99.999867590933874</v>
      </c>
      <c r="AH45" s="19">
        <f t="shared" si="10"/>
        <v>242.24496226415093</v>
      </c>
      <c r="AI45" s="19">
        <f>256.77966-6.41</f>
        <v>250.36965999999998</v>
      </c>
    </row>
    <row r="46" spans="1:36" ht="78" hidden="1" customHeight="1" x14ac:dyDescent="0.25">
      <c r="A46" s="11" t="s">
        <v>109</v>
      </c>
      <c r="B46" s="30" t="s">
        <v>110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f>AA46-Z46</f>
        <v>0</v>
      </c>
      <c r="AC46" s="19">
        <v>0</v>
      </c>
      <c r="AD46" s="19">
        <v>0</v>
      </c>
      <c r="AE46" s="19">
        <f t="shared" si="58"/>
        <v>0</v>
      </c>
      <c r="AF46" s="19">
        <v>100</v>
      </c>
      <c r="AG46" s="19" t="e">
        <f>AD46/AA46*100</f>
        <v>#DIV/0!</v>
      </c>
      <c r="AH46" s="19" t="e">
        <f t="shared" si="10"/>
        <v>#DIV/0!</v>
      </c>
      <c r="AI46" s="19">
        <v>0</v>
      </c>
    </row>
    <row r="47" spans="1:36" ht="20.25" hidden="1" customHeight="1" x14ac:dyDescent="0.25">
      <c r="A47" s="11" t="s">
        <v>111</v>
      </c>
      <c r="B47" s="30" t="s">
        <v>112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 t="e">
        <f t="shared" si="10"/>
        <v>#DIV/0!</v>
      </c>
      <c r="AI47" s="19"/>
    </row>
    <row r="48" spans="1:36" ht="32.25" hidden="1" customHeight="1" x14ac:dyDescent="0.25">
      <c r="A48" s="11" t="s">
        <v>113</v>
      </c>
      <c r="B48" s="30" t="s">
        <v>114</v>
      </c>
      <c r="C48" s="19">
        <v>2</v>
      </c>
      <c r="D48" s="19">
        <v>0</v>
      </c>
      <c r="E48" s="19">
        <v>0</v>
      </c>
      <c r="F48" s="19">
        <v>1.1898</v>
      </c>
      <c r="G48" s="19">
        <v>0.8</v>
      </c>
      <c r="H48" s="19">
        <v>14.1</v>
      </c>
      <c r="I48" s="19">
        <v>14.089549999999999</v>
      </c>
      <c r="J48" s="19">
        <v>27.5</v>
      </c>
      <c r="K48" s="19">
        <v>37.5</v>
      </c>
      <c r="L48" s="19">
        <v>36.615099999999998</v>
      </c>
      <c r="M48" s="19"/>
      <c r="N48" s="19">
        <v>27.5</v>
      </c>
      <c r="O48" s="19">
        <v>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 t="e">
        <f t="shared" si="10"/>
        <v>#DIV/0!</v>
      </c>
      <c r="AI48" s="19"/>
    </row>
    <row r="49" spans="1:36" ht="32.25" hidden="1" customHeight="1" x14ac:dyDescent="0.25">
      <c r="A49" s="11"/>
      <c r="B49" s="3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 t="e">
        <f t="shared" si="10"/>
        <v>#DIV/0!</v>
      </c>
      <c r="AI49" s="19"/>
    </row>
    <row r="50" spans="1:36" ht="27.75" customHeight="1" x14ac:dyDescent="0.25">
      <c r="A50" s="12" t="s">
        <v>115</v>
      </c>
      <c r="B50" s="33" t="s">
        <v>116</v>
      </c>
      <c r="C50" s="14">
        <f>C52+C53+C54</f>
        <v>0</v>
      </c>
      <c r="D50" s="14">
        <f t="shared" ref="D50:K50" si="64">D52+D53</f>
        <v>0</v>
      </c>
      <c r="E50" s="14">
        <f t="shared" si="64"/>
        <v>0</v>
      </c>
      <c r="F50" s="14">
        <f t="shared" si="64"/>
        <v>0</v>
      </c>
      <c r="G50" s="14">
        <f t="shared" si="64"/>
        <v>0</v>
      </c>
      <c r="H50" s="14">
        <f t="shared" si="64"/>
        <v>0</v>
      </c>
      <c r="I50" s="14">
        <f t="shared" si="64"/>
        <v>0</v>
      </c>
      <c r="J50" s="14">
        <f t="shared" si="64"/>
        <v>0</v>
      </c>
      <c r="K50" s="14">
        <f t="shared" si="64"/>
        <v>583.6</v>
      </c>
      <c r="L50" s="14">
        <f>L52+L53</f>
        <v>583.60505000000001</v>
      </c>
      <c r="M50" s="14">
        <f>M52+M53</f>
        <v>0</v>
      </c>
      <c r="N50" s="14"/>
      <c r="O50" s="14"/>
      <c r="P50" s="14"/>
      <c r="Q50" s="14">
        <f>Q52+Q53</f>
        <v>0</v>
      </c>
      <c r="R50" s="14"/>
      <c r="S50" s="14"/>
      <c r="T50" s="14"/>
      <c r="U50" s="14"/>
      <c r="V50" s="14"/>
      <c r="W50" s="14"/>
      <c r="X50" s="14"/>
      <c r="Y50" s="14"/>
      <c r="Z50" s="14"/>
      <c r="AA50" s="14">
        <f>AA53</f>
        <v>1.38</v>
      </c>
      <c r="AB50" s="14">
        <f t="shared" ref="AB50:AB51" si="65">AA50-Z50</f>
        <v>1.38</v>
      </c>
      <c r="AC50" s="14">
        <v>100</v>
      </c>
      <c r="AD50" s="14">
        <f>AD53</f>
        <v>1.38</v>
      </c>
      <c r="AE50" s="14">
        <f t="shared" ref="AE50" si="66">AD50-AA50</f>
        <v>0</v>
      </c>
      <c r="AF50" s="14">
        <v>100</v>
      </c>
      <c r="AG50" s="14">
        <f>AD50/AA50*100</f>
        <v>100</v>
      </c>
      <c r="AH50" s="14">
        <v>100</v>
      </c>
      <c r="AI50" s="14">
        <f>AI53</f>
        <v>1.38</v>
      </c>
    </row>
    <row r="51" spans="1:36" ht="27.75" hidden="1" customHeight="1" x14ac:dyDescent="0.25">
      <c r="A51" s="11" t="s">
        <v>117</v>
      </c>
      <c r="B51" s="30" t="s">
        <v>118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9">
        <f t="shared" si="65"/>
        <v>0</v>
      </c>
      <c r="AC51" s="19">
        <v>100</v>
      </c>
      <c r="AD51" s="14"/>
      <c r="AE51" s="14"/>
      <c r="AF51" s="14"/>
      <c r="AG51" s="14"/>
      <c r="AH51" s="14" t="e">
        <f t="shared" si="10"/>
        <v>#DIV/0!</v>
      </c>
      <c r="AI51" s="14"/>
    </row>
    <row r="52" spans="1:36" ht="40.5" hidden="1" customHeight="1" x14ac:dyDescent="0.25">
      <c r="A52" s="11" t="s">
        <v>119</v>
      </c>
      <c r="B52" s="30" t="s">
        <v>120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583.6</v>
      </c>
      <c r="L52" s="19">
        <v>583.60505000000001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 t="e">
        <f t="shared" si="10"/>
        <v>#DIV/0!</v>
      </c>
      <c r="AI52" s="19"/>
    </row>
    <row r="53" spans="1:36" ht="24" customHeight="1" x14ac:dyDescent="0.25">
      <c r="A53" s="11" t="s">
        <v>121</v>
      </c>
      <c r="B53" s="30" t="s">
        <v>122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>
        <v>1.38</v>
      </c>
      <c r="AB53" s="19">
        <f t="shared" ref="AB53" si="67">AA53-Z53</f>
        <v>1.38</v>
      </c>
      <c r="AC53" s="19">
        <v>100</v>
      </c>
      <c r="AD53" s="19">
        <v>1.38</v>
      </c>
      <c r="AE53" s="19">
        <f>AD53-AA53</f>
        <v>0</v>
      </c>
      <c r="AF53" s="19">
        <v>100</v>
      </c>
      <c r="AG53" s="19">
        <f t="shared" ref="AG53" si="68">AD53/AA53*100</f>
        <v>100</v>
      </c>
      <c r="AH53" s="19">
        <v>100</v>
      </c>
      <c r="AI53" s="19">
        <v>1.38</v>
      </c>
    </row>
    <row r="54" spans="1:36" ht="52.5" hidden="1" customHeight="1" x14ac:dyDescent="0.25">
      <c r="A54" s="11" t="s">
        <v>123</v>
      </c>
      <c r="B54" s="30" t="s">
        <v>124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 t="e">
        <f t="shared" si="10"/>
        <v>#DIV/0!</v>
      </c>
      <c r="AI54" s="19"/>
    </row>
    <row r="55" spans="1:36" ht="52.5" hidden="1" customHeight="1" x14ac:dyDescent="0.25">
      <c r="A55" s="11" t="s">
        <v>125</v>
      </c>
      <c r="B55" s="30" t="s">
        <v>126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 t="e">
        <f t="shared" si="10"/>
        <v>#DIV/0!</v>
      </c>
      <c r="AI55" s="19"/>
    </row>
    <row r="56" spans="1:36" ht="31.5" hidden="1" customHeight="1" x14ac:dyDescent="0.25">
      <c r="A56" s="11"/>
      <c r="B56" s="3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 t="e">
        <f t="shared" si="10"/>
        <v>#DIV/0!</v>
      </c>
      <c r="AI56" s="19"/>
    </row>
    <row r="57" spans="1:36" ht="31.5" hidden="1" customHeight="1" x14ac:dyDescent="0.25">
      <c r="A57" s="11"/>
      <c r="B57" s="3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 t="e">
        <f t="shared" si="10"/>
        <v>#DIV/0!</v>
      </c>
      <c r="AI57" s="19"/>
    </row>
    <row r="58" spans="1:36" s="29" customFormat="1" ht="22.5" customHeight="1" x14ac:dyDescent="0.25">
      <c r="A58" s="12" t="s">
        <v>127</v>
      </c>
      <c r="B58" s="33" t="s">
        <v>128</v>
      </c>
      <c r="C58" s="14">
        <v>-8.4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/>
      <c r="O58" s="14"/>
      <c r="P58" s="14"/>
      <c r="Q58" s="14"/>
      <c r="R58" s="14"/>
      <c r="S58" s="14"/>
      <c r="T58" s="14"/>
      <c r="U58" s="14"/>
      <c r="V58" s="14"/>
      <c r="W58" s="14">
        <v>35.14</v>
      </c>
      <c r="X58" s="14">
        <f>1.13168+35.13976</f>
        <v>36.271440000000005</v>
      </c>
      <c r="Y58" s="14">
        <f>1.13168+35.13976</f>
        <v>36.271440000000005</v>
      </c>
      <c r="Z58" s="14"/>
      <c r="AA58" s="14"/>
      <c r="AB58" s="14"/>
      <c r="AC58" s="14"/>
      <c r="AD58" s="14">
        <f>-1.13168+75.367</f>
        <v>74.235320000000002</v>
      </c>
      <c r="AE58" s="14">
        <f>AD58-AA58</f>
        <v>74.235320000000002</v>
      </c>
      <c r="AF58" s="14">
        <v>100</v>
      </c>
      <c r="AG58" s="14">
        <v>100</v>
      </c>
      <c r="AH58" s="14">
        <f t="shared" si="10"/>
        <v>204.66604027852213</v>
      </c>
      <c r="AI58" s="14">
        <f>-1.13168+75.367</f>
        <v>74.235320000000002</v>
      </c>
    </row>
    <row r="59" spans="1:36" s="29" customFormat="1" ht="24" hidden="1" customHeight="1" x14ac:dyDescent="0.25">
      <c r="A59" s="12"/>
      <c r="B59" s="3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 t="e">
        <f t="shared" si="10"/>
        <v>#DIV/0!</v>
      </c>
      <c r="AI59" s="14"/>
    </row>
    <row r="60" spans="1:36" ht="21" x14ac:dyDescent="0.25">
      <c r="A60" s="12" t="s">
        <v>129</v>
      </c>
      <c r="B60" s="13" t="s">
        <v>130</v>
      </c>
      <c r="C60" s="14">
        <f t="shared" ref="C60:AA60" si="69">C62+C119+C117</f>
        <v>33883.748</v>
      </c>
      <c r="D60" s="14">
        <f t="shared" si="69"/>
        <v>23012.5</v>
      </c>
      <c r="E60" s="14">
        <f t="shared" si="69"/>
        <v>39560.870000000003</v>
      </c>
      <c r="F60" s="14">
        <f t="shared" si="69"/>
        <v>39560.870750000009</v>
      </c>
      <c r="G60" s="14">
        <f t="shared" si="69"/>
        <v>32592.400000000001</v>
      </c>
      <c r="H60" s="14">
        <f t="shared" si="69"/>
        <v>38434.499999999993</v>
      </c>
      <c r="I60" s="14">
        <f t="shared" si="69"/>
        <v>38434.524940000003</v>
      </c>
      <c r="J60" s="14">
        <f t="shared" si="69"/>
        <v>28818.799999999999</v>
      </c>
      <c r="K60" s="14">
        <f t="shared" si="69"/>
        <v>34194.400000000001</v>
      </c>
      <c r="L60" s="14">
        <f t="shared" si="69"/>
        <v>34194.461569999999</v>
      </c>
      <c r="M60" s="14">
        <f t="shared" si="69"/>
        <v>98578.17128000001</v>
      </c>
      <c r="N60" s="14">
        <f t="shared" si="69"/>
        <v>24734.799999999999</v>
      </c>
      <c r="O60" s="14">
        <f t="shared" si="69"/>
        <v>32500.300000000003</v>
      </c>
      <c r="P60" s="14">
        <f t="shared" si="69"/>
        <v>32476.380940000003</v>
      </c>
      <c r="Q60" s="14">
        <f t="shared" si="69"/>
        <v>92189.780500000008</v>
      </c>
      <c r="R60" s="14">
        <f t="shared" si="69"/>
        <v>25688.600000000002</v>
      </c>
      <c r="S60" s="14">
        <f t="shared" si="69"/>
        <v>31730.93</v>
      </c>
      <c r="T60" s="14">
        <f>T62+T119+T117</f>
        <v>31741.53801</v>
      </c>
      <c r="U60" s="14">
        <f>U62+U119+U117</f>
        <v>50374.099419999999</v>
      </c>
      <c r="V60" s="14">
        <f t="shared" ref="V60:W60" si="70">V62+V119+V117</f>
        <v>23671.4</v>
      </c>
      <c r="W60" s="14">
        <f t="shared" si="70"/>
        <v>38547.699999999997</v>
      </c>
      <c r="X60" s="14">
        <f>X62+X119+X117</f>
        <v>38531.700440000001</v>
      </c>
      <c r="Y60" s="14">
        <f>Y62+Y119+Y117</f>
        <v>38531.700440000001</v>
      </c>
      <c r="Z60" s="14">
        <f t="shared" si="69"/>
        <v>26669.599999999999</v>
      </c>
      <c r="AA60" s="14">
        <f t="shared" si="69"/>
        <v>37113.24</v>
      </c>
      <c r="AB60" s="14">
        <f t="shared" ref="AB60" si="71">AA60-Z60</f>
        <v>10443.64</v>
      </c>
      <c r="AC60" s="14">
        <f>AA60/Z60*100</f>
        <v>139.15934247232804</v>
      </c>
      <c r="AD60" s="14">
        <f>AD62+AD119+AD117</f>
        <v>37113.242899999997</v>
      </c>
      <c r="AE60" s="14">
        <f>AD60-AA60</f>
        <v>2.8999999994994141E-3</v>
      </c>
      <c r="AF60" s="14">
        <f>AD60/Z60*100</f>
        <v>139.15935334613192</v>
      </c>
      <c r="AG60" s="14">
        <f>AD60/AA60*100</f>
        <v>100.00000781392299</v>
      </c>
      <c r="AH60" s="14">
        <f t="shared" si="10"/>
        <v>96.318725818475698</v>
      </c>
      <c r="AI60" s="14">
        <f>AI62+AI119+AI117</f>
        <v>67111.808609999993</v>
      </c>
    </row>
    <row r="61" spans="1:36" x14ac:dyDescent="0.25">
      <c r="A61" s="12"/>
      <c r="B61" s="13" t="s">
        <v>42</v>
      </c>
      <c r="C61" s="14">
        <f t="shared" ref="C61:AA61" si="72">C60/C120*100</f>
        <v>93.419351238529686</v>
      </c>
      <c r="D61" s="14">
        <f t="shared" si="72"/>
        <v>95.173597468930296</v>
      </c>
      <c r="E61" s="14">
        <f t="shared" si="72"/>
        <v>96.157433187731101</v>
      </c>
      <c r="F61" s="14">
        <f t="shared" si="72"/>
        <v>96.091495420972919</v>
      </c>
      <c r="G61" s="14">
        <f t="shared" si="72"/>
        <v>96.686957863135277</v>
      </c>
      <c r="H61" s="14">
        <f t="shared" si="72"/>
        <v>95.800286145854614</v>
      </c>
      <c r="I61" s="14">
        <f t="shared" si="72"/>
        <v>95.769024233591011</v>
      </c>
      <c r="J61" s="14">
        <f t="shared" si="72"/>
        <v>95.307513468286274</v>
      </c>
      <c r="K61" s="14">
        <f t="shared" si="72"/>
        <v>92.99234183273866</v>
      </c>
      <c r="L61" s="14">
        <f t="shared" si="72"/>
        <v>93.031653195776798</v>
      </c>
      <c r="M61" s="14">
        <f t="shared" si="72"/>
        <v>97.467588644515061</v>
      </c>
      <c r="N61" s="14">
        <f t="shared" si="72"/>
        <v>93.21083492862634</v>
      </c>
      <c r="O61" s="14">
        <f t="shared" si="72"/>
        <v>91.612592245981773</v>
      </c>
      <c r="P61" s="14">
        <f t="shared" si="72"/>
        <v>91.562381757480892</v>
      </c>
      <c r="Q61" s="14">
        <f t="shared" si="72"/>
        <v>134.94397933296548</v>
      </c>
      <c r="R61" s="14">
        <f t="shared" si="72"/>
        <v>94.044729510567336</v>
      </c>
      <c r="S61" s="14">
        <f t="shared" si="72"/>
        <v>91.34349299600467</v>
      </c>
      <c r="T61" s="14">
        <f>T60/T120*100</f>
        <v>90.770064630341935</v>
      </c>
      <c r="U61" s="14">
        <f>U60/U120*100</f>
        <v>112.57861085067256</v>
      </c>
      <c r="V61" s="14">
        <f t="shared" ref="V61:W61" si="73">V60/V120*100</f>
        <v>82.887696789736125</v>
      </c>
      <c r="W61" s="14">
        <f t="shared" si="73"/>
        <v>87.02630202389426</v>
      </c>
      <c r="X61" s="14">
        <f>X60/X120*100</f>
        <v>86.684800745136215</v>
      </c>
      <c r="Y61" s="14">
        <f>Y60/Y120*100</f>
        <v>91.462945576147902</v>
      </c>
      <c r="Z61" s="14">
        <f t="shared" si="72"/>
        <v>86.841676815171311</v>
      </c>
      <c r="AA61" s="14">
        <f t="shared" si="72"/>
        <v>88.176160160114506</v>
      </c>
      <c r="AB61" s="14"/>
      <c r="AC61" s="14"/>
      <c r="AD61" s="14">
        <f>AD60/AD120*100</f>
        <v>87.375629869684531</v>
      </c>
      <c r="AE61" s="14"/>
      <c r="AF61" s="14"/>
      <c r="AG61" s="14"/>
      <c r="AH61" s="14"/>
      <c r="AI61" s="14">
        <f>AI60/AI120*100</f>
        <v>92.606320952154704</v>
      </c>
    </row>
    <row r="62" spans="1:36" ht="24" customHeight="1" x14ac:dyDescent="0.25">
      <c r="A62" s="12" t="s">
        <v>131</v>
      </c>
      <c r="B62" s="13" t="s">
        <v>132</v>
      </c>
      <c r="C62" s="14">
        <f t="shared" ref="C62:AA62" si="74">C64+C79+C67+C83</f>
        <v>33883.748</v>
      </c>
      <c r="D62" s="14">
        <f t="shared" si="74"/>
        <v>23012.5</v>
      </c>
      <c r="E62" s="14">
        <f t="shared" si="74"/>
        <v>39560.870000000003</v>
      </c>
      <c r="F62" s="14">
        <f t="shared" si="74"/>
        <v>39560.870750000009</v>
      </c>
      <c r="G62" s="14">
        <f t="shared" si="74"/>
        <v>32592.400000000001</v>
      </c>
      <c r="H62" s="14">
        <f t="shared" si="74"/>
        <v>38434.499999999993</v>
      </c>
      <c r="I62" s="14">
        <f t="shared" si="74"/>
        <v>38434.524940000003</v>
      </c>
      <c r="J62" s="14">
        <f t="shared" si="74"/>
        <v>28818.799999999999</v>
      </c>
      <c r="K62" s="14">
        <f t="shared" si="74"/>
        <v>34194.400000000001</v>
      </c>
      <c r="L62" s="14">
        <f>L64+L79+L67+L83</f>
        <v>34194.461569999999</v>
      </c>
      <c r="M62" s="14">
        <f>M64+M79+M67+M83+M114+M115</f>
        <v>90829.085480000009</v>
      </c>
      <c r="N62" s="14">
        <f t="shared" ref="N62:O62" si="75">N64+N79+N67+N83</f>
        <v>24734.799999999999</v>
      </c>
      <c r="O62" s="14">
        <f t="shared" si="75"/>
        <v>31900.300000000003</v>
      </c>
      <c r="P62" s="14">
        <f>P64+P79+P67+P83</f>
        <v>31876.380940000003</v>
      </c>
      <c r="Q62" s="14">
        <f>Q64+Q79+Q67+Q83+Q114+Q115</f>
        <v>91589.780500000008</v>
      </c>
      <c r="R62" s="14">
        <f t="shared" ref="R62:S62" si="76">R64+R79+R67+R83</f>
        <v>25688.600000000002</v>
      </c>
      <c r="S62" s="14">
        <f t="shared" si="76"/>
        <v>31470.93</v>
      </c>
      <c r="T62" s="14">
        <f>T64+T79+T67+T83</f>
        <v>31481.53801</v>
      </c>
      <c r="U62" s="14">
        <f>U64+U79+U67+U83+U114+U115</f>
        <v>44051.23414</v>
      </c>
      <c r="V62" s="14">
        <f t="shared" ref="V62:W62" si="77">V64+V79+V67+V83</f>
        <v>23671.4</v>
      </c>
      <c r="W62" s="14">
        <f t="shared" si="77"/>
        <v>38547.699999999997</v>
      </c>
      <c r="X62" s="14">
        <f>X64+X79+X67+X83</f>
        <v>38531.700440000001</v>
      </c>
      <c r="Y62" s="14">
        <f>Y64+Y79+Y67+Y83+Y114+Y115</f>
        <v>38531.700440000001</v>
      </c>
      <c r="Z62" s="14">
        <f t="shared" si="74"/>
        <v>26669.599999999999</v>
      </c>
      <c r="AA62" s="14">
        <f t="shared" si="74"/>
        <v>37113.24</v>
      </c>
      <c r="AB62" s="14">
        <f t="shared" ref="AB62:AB66" si="78">AA62-Z62</f>
        <v>10443.64</v>
      </c>
      <c r="AC62" s="14">
        <f>AA62/Z62*100</f>
        <v>139.15934247232804</v>
      </c>
      <c r="AD62" s="14">
        <f>AD64+AD79+AD67+AD83</f>
        <v>37113.242899999997</v>
      </c>
      <c r="AE62" s="14">
        <f>AD62-AA62</f>
        <v>2.8999999994994141E-3</v>
      </c>
      <c r="AF62" s="14">
        <f>AD62/Z62*100</f>
        <v>139.15935334613192</v>
      </c>
      <c r="AG62" s="14">
        <f>AD62/AA62*100</f>
        <v>100.00000781392299</v>
      </c>
      <c r="AH62" s="14">
        <f t="shared" si="10"/>
        <v>96.318725818475698</v>
      </c>
      <c r="AI62" s="14">
        <f>AI64+AI79+AI67+AI83+AI114+AI115</f>
        <v>59585.908369999997</v>
      </c>
      <c r="AJ62" s="31"/>
    </row>
    <row r="63" spans="1:36" ht="27" hidden="1" customHeight="1" x14ac:dyDescent="0.2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 t="e">
        <f t="shared" si="10"/>
        <v>#DIV/0!</v>
      </c>
      <c r="AI63" s="14"/>
      <c r="AJ63" s="31"/>
    </row>
    <row r="64" spans="1:36" ht="27.75" customHeight="1" x14ac:dyDescent="0.25">
      <c r="A64" s="12" t="s">
        <v>133</v>
      </c>
      <c r="B64" s="13" t="s">
        <v>134</v>
      </c>
      <c r="C64" s="14">
        <f t="shared" ref="C64:AA64" si="79">C65+C66</f>
        <v>26250.2</v>
      </c>
      <c r="D64" s="14">
        <f t="shared" si="79"/>
        <v>22770.6</v>
      </c>
      <c r="E64" s="14">
        <f t="shared" si="79"/>
        <v>30984.6</v>
      </c>
      <c r="F64" s="14">
        <f t="shared" si="79"/>
        <v>30984.603000000003</v>
      </c>
      <c r="G64" s="14">
        <f t="shared" si="79"/>
        <v>29184.5</v>
      </c>
      <c r="H64" s="14">
        <f t="shared" si="79"/>
        <v>32100.1</v>
      </c>
      <c r="I64" s="14">
        <f t="shared" si="79"/>
        <v>32100.175000000003</v>
      </c>
      <c r="J64" s="14">
        <f t="shared" si="79"/>
        <v>27403.1</v>
      </c>
      <c r="K64" s="14">
        <f t="shared" si="79"/>
        <v>28871.8</v>
      </c>
      <c r="L64" s="14">
        <f>L65+L66</f>
        <v>28871.786</v>
      </c>
      <c r="M64" s="14">
        <f>M65+M66</f>
        <v>28871.786</v>
      </c>
      <c r="N64" s="14">
        <f t="shared" ref="N64:O64" si="80">N65+N66</f>
        <v>20851.2</v>
      </c>
      <c r="O64" s="14">
        <f t="shared" si="80"/>
        <v>22328.800000000003</v>
      </c>
      <c r="P64" s="14">
        <f>P65+P66</f>
        <v>22328.82</v>
      </c>
      <c r="Q64" s="14">
        <f>Q65+Q66</f>
        <v>22328.82</v>
      </c>
      <c r="R64" s="14">
        <f t="shared" ref="R64:S64" si="81">R65+R66</f>
        <v>20274.300000000003</v>
      </c>
      <c r="S64" s="14">
        <f t="shared" si="81"/>
        <v>23305.61</v>
      </c>
      <c r="T64" s="14">
        <f>T65+T66</f>
        <v>23305.61</v>
      </c>
      <c r="U64" s="14">
        <f>U65+U66</f>
        <v>23305.61</v>
      </c>
      <c r="V64" s="14">
        <f t="shared" ref="V64:W64" si="82">V65+V66</f>
        <v>21863.9</v>
      </c>
      <c r="W64" s="14">
        <f t="shared" si="82"/>
        <v>26492.7</v>
      </c>
      <c r="X64" s="14">
        <f>X65+X66</f>
        <v>26492.705999999998</v>
      </c>
      <c r="Y64" s="14">
        <f>Y65+Y66</f>
        <v>26492.705999999998</v>
      </c>
      <c r="Z64" s="14">
        <f t="shared" si="79"/>
        <v>25645.7</v>
      </c>
      <c r="AA64" s="14">
        <f t="shared" si="79"/>
        <v>30673.51</v>
      </c>
      <c r="AB64" s="14">
        <f t="shared" si="78"/>
        <v>5027.8099999999977</v>
      </c>
      <c r="AC64" s="14">
        <f>AA64/Z64*100</f>
        <v>119.60488502945911</v>
      </c>
      <c r="AD64" s="14">
        <f>AD65+AD66</f>
        <v>30673.513999999999</v>
      </c>
      <c r="AE64" s="14">
        <f>AD64-AA64</f>
        <v>4.0000000008149073E-3</v>
      </c>
      <c r="AF64" s="14">
        <f>AD64/Z64*100</f>
        <v>119.60490062661574</v>
      </c>
      <c r="AG64" s="14">
        <f>AD64/AA64*100</f>
        <v>100.00001304056822</v>
      </c>
      <c r="AH64" s="14">
        <f t="shared" si="10"/>
        <v>115.78097760191051</v>
      </c>
      <c r="AI64" s="14">
        <f>AI65+AI66</f>
        <v>30673.513999999999</v>
      </c>
    </row>
    <row r="65" spans="1:39" ht="31.5" customHeight="1" x14ac:dyDescent="0.25">
      <c r="A65" s="11" t="s">
        <v>135</v>
      </c>
      <c r="B65" s="30" t="s">
        <v>136</v>
      </c>
      <c r="C65" s="19">
        <v>4405.3</v>
      </c>
      <c r="D65" s="19">
        <v>8227.2999999999993</v>
      </c>
      <c r="E65" s="19">
        <v>8293.4</v>
      </c>
      <c r="F65" s="19">
        <v>8293.4</v>
      </c>
      <c r="G65" s="19">
        <v>8796.4</v>
      </c>
      <c r="H65" s="19">
        <v>8796.4</v>
      </c>
      <c r="I65" s="19">
        <v>8796.4</v>
      </c>
      <c r="J65" s="19">
        <v>9706</v>
      </c>
      <c r="K65" s="19">
        <v>9706</v>
      </c>
      <c r="L65" s="19">
        <v>9706</v>
      </c>
      <c r="M65" s="19">
        <v>9706</v>
      </c>
      <c r="N65" s="19">
        <v>10462.200000000001</v>
      </c>
      <c r="O65" s="19">
        <v>10462.200000000001</v>
      </c>
      <c r="P65" s="19">
        <v>10462.200000000001</v>
      </c>
      <c r="Q65" s="19">
        <v>10462.200000000001</v>
      </c>
      <c r="R65" s="19">
        <v>11205.1</v>
      </c>
      <c r="S65" s="19">
        <v>12019.5</v>
      </c>
      <c r="T65" s="19">
        <v>12019.5</v>
      </c>
      <c r="U65" s="19">
        <v>12019.5</v>
      </c>
      <c r="V65" s="19">
        <v>11024.5</v>
      </c>
      <c r="W65" s="19">
        <v>11024.5</v>
      </c>
      <c r="X65" s="19">
        <v>11024.5</v>
      </c>
      <c r="Y65" s="19">
        <v>11024.5</v>
      </c>
      <c r="Z65" s="19">
        <v>10700</v>
      </c>
      <c r="AA65" s="19">
        <v>10700</v>
      </c>
      <c r="AB65" s="19">
        <f t="shared" si="78"/>
        <v>0</v>
      </c>
      <c r="AC65" s="19">
        <f>AA65/Z65*100</f>
        <v>100</v>
      </c>
      <c r="AD65" s="19">
        <v>10700</v>
      </c>
      <c r="AE65" s="19">
        <f>AD65-AA65</f>
        <v>0</v>
      </c>
      <c r="AF65" s="19">
        <f>AD65/Z65*100</f>
        <v>100</v>
      </c>
      <c r="AG65" s="19">
        <f>AD65/AA65*100</f>
        <v>100</v>
      </c>
      <c r="AH65" s="19">
        <f t="shared" si="10"/>
        <v>97.056555852873146</v>
      </c>
      <c r="AI65" s="19">
        <v>10700</v>
      </c>
    </row>
    <row r="66" spans="1:39" ht="30.75" customHeight="1" x14ac:dyDescent="0.25">
      <c r="A66" s="11" t="s">
        <v>137</v>
      </c>
      <c r="B66" s="30" t="s">
        <v>138</v>
      </c>
      <c r="C66" s="19">
        <v>21844.9</v>
      </c>
      <c r="D66" s="19">
        <v>14543.3</v>
      </c>
      <c r="E66" s="19">
        <v>22691.200000000001</v>
      </c>
      <c r="F66" s="19">
        <v>22691.203000000001</v>
      </c>
      <c r="G66" s="19">
        <v>20388.099999999999</v>
      </c>
      <c r="H66" s="19">
        <v>23303.7</v>
      </c>
      <c r="I66" s="19">
        <v>23303.775000000001</v>
      </c>
      <c r="J66" s="19">
        <v>17697.099999999999</v>
      </c>
      <c r="K66" s="19">
        <v>19165.8</v>
      </c>
      <c r="L66" s="19">
        <v>19165.786</v>
      </c>
      <c r="M66" s="19">
        <v>19165.786</v>
      </c>
      <c r="N66" s="19">
        <v>10389</v>
      </c>
      <c r="O66" s="19">
        <v>11866.6</v>
      </c>
      <c r="P66" s="19">
        <v>11866.62</v>
      </c>
      <c r="Q66" s="19">
        <v>11866.62</v>
      </c>
      <c r="R66" s="19">
        <v>9069.2000000000007</v>
      </c>
      <c r="S66" s="19">
        <v>11286.11</v>
      </c>
      <c r="T66" s="19">
        <v>11286.11</v>
      </c>
      <c r="U66" s="19">
        <v>11286.11</v>
      </c>
      <c r="V66" s="19">
        <v>10839.4</v>
      </c>
      <c r="W66" s="19">
        <v>15468.2</v>
      </c>
      <c r="X66" s="19">
        <v>15468.206</v>
      </c>
      <c r="Y66" s="19">
        <v>15468.206</v>
      </c>
      <c r="Z66" s="19">
        <v>14945.7</v>
      </c>
      <c r="AA66" s="19">
        <v>19973.509999999998</v>
      </c>
      <c r="AB66" s="19">
        <f t="shared" si="78"/>
        <v>5027.8099999999977</v>
      </c>
      <c r="AC66" s="19">
        <f>AA66/Z66*100</f>
        <v>133.64051198672527</v>
      </c>
      <c r="AD66" s="19">
        <v>19973.513999999999</v>
      </c>
      <c r="AE66" s="19">
        <f>AD66-AA66</f>
        <v>4.0000000008149073E-3</v>
      </c>
      <c r="AF66" s="19">
        <f>AD66/Z66*100</f>
        <v>133.64053875027599</v>
      </c>
      <c r="AG66" s="19">
        <f>AD66/AA66*100</f>
        <v>100.00002002652512</v>
      </c>
      <c r="AH66" s="19">
        <f t="shared" si="10"/>
        <v>129.12624773680929</v>
      </c>
      <c r="AI66" s="19">
        <v>19973.513999999999</v>
      </c>
    </row>
    <row r="67" spans="1:39" ht="30" hidden="1" customHeight="1" x14ac:dyDescent="0.25">
      <c r="A67" s="12" t="s">
        <v>139</v>
      </c>
      <c r="B67" s="33" t="s">
        <v>140</v>
      </c>
      <c r="C67" s="14">
        <f t="shared" ref="C67:I67" si="83">C68+C69+C70+C71</f>
        <v>7369.1480000000001</v>
      </c>
      <c r="D67" s="14">
        <f t="shared" si="83"/>
        <v>0</v>
      </c>
      <c r="E67" s="14">
        <f t="shared" si="83"/>
        <v>6440.4</v>
      </c>
      <c r="F67" s="14">
        <f t="shared" si="83"/>
        <v>6440.4</v>
      </c>
      <c r="G67" s="14">
        <f t="shared" si="83"/>
        <v>2733.9</v>
      </c>
      <c r="H67" s="14">
        <f t="shared" si="83"/>
        <v>3566.2</v>
      </c>
      <c r="I67" s="14">
        <f t="shared" si="83"/>
        <v>3566.16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 t="e">
        <f t="shared" si="10"/>
        <v>#DIV/0!</v>
      </c>
      <c r="AI67" s="14"/>
    </row>
    <row r="68" spans="1:39" ht="75.75" hidden="1" customHeight="1" x14ac:dyDescent="0.25">
      <c r="A68" s="11" t="s">
        <v>141</v>
      </c>
      <c r="B68" s="30" t="s">
        <v>142</v>
      </c>
      <c r="C68" s="19">
        <v>5487.55</v>
      </c>
      <c r="D68" s="19">
        <v>0</v>
      </c>
      <c r="E68" s="19">
        <v>4069.81</v>
      </c>
      <c r="F68" s="19">
        <v>4069.81</v>
      </c>
      <c r="G68" s="19">
        <v>2550.5</v>
      </c>
      <c r="H68" s="19">
        <v>2550.5</v>
      </c>
      <c r="I68" s="19">
        <v>2550.5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 t="e">
        <f t="shared" si="10"/>
        <v>#DIV/0!</v>
      </c>
      <c r="AI68" s="19"/>
      <c r="AK68" s="34"/>
      <c r="AL68" s="34"/>
      <c r="AM68" s="35"/>
    </row>
    <row r="69" spans="1:39" ht="42" hidden="1" customHeight="1" x14ac:dyDescent="0.25">
      <c r="A69" s="11" t="s">
        <v>143</v>
      </c>
      <c r="B69" s="30" t="s">
        <v>144</v>
      </c>
      <c r="C69" s="19">
        <v>376.12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 t="e">
        <f t="shared" si="10"/>
        <v>#DIV/0!</v>
      </c>
      <c r="AI69" s="19"/>
    </row>
    <row r="70" spans="1:39" ht="52.5" hidden="1" customHeight="1" x14ac:dyDescent="0.25">
      <c r="A70" s="11" t="s">
        <v>145</v>
      </c>
      <c r="B70" s="30" t="s">
        <v>146</v>
      </c>
      <c r="C70" s="19">
        <v>0</v>
      </c>
      <c r="D70" s="19">
        <v>0</v>
      </c>
      <c r="E70" s="19">
        <v>1128.5999999999999</v>
      </c>
      <c r="F70" s="19">
        <v>1128.5999999999999</v>
      </c>
      <c r="G70" s="19">
        <v>0</v>
      </c>
      <c r="H70" s="19">
        <v>0</v>
      </c>
      <c r="I70" s="19">
        <v>0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 t="e">
        <f t="shared" si="10"/>
        <v>#DIV/0!</v>
      </c>
      <c r="AI70" s="19"/>
    </row>
    <row r="71" spans="1:39" ht="18" hidden="1" customHeight="1" x14ac:dyDescent="0.25">
      <c r="A71" s="11" t="s">
        <v>147</v>
      </c>
      <c r="B71" s="30" t="s">
        <v>148</v>
      </c>
      <c r="C71" s="19">
        <v>1505.4780000000001</v>
      </c>
      <c r="D71" s="19">
        <v>0</v>
      </c>
      <c r="E71" s="19">
        <v>1241.99</v>
      </c>
      <c r="F71" s="19">
        <v>1241.99</v>
      </c>
      <c r="G71" s="19">
        <v>183.4</v>
      </c>
      <c r="H71" s="19">
        <v>1015.7</v>
      </c>
      <c r="I71" s="19">
        <v>1015.66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 t="e">
        <f t="shared" ref="AH71:AH128" si="84">AD71/X71*100</f>
        <v>#DIV/0!</v>
      </c>
      <c r="AI71" s="19"/>
    </row>
    <row r="72" spans="1:39" ht="18" hidden="1" customHeight="1" x14ac:dyDescent="0.25">
      <c r="A72" s="11" t="s">
        <v>149</v>
      </c>
      <c r="B72" s="30" t="s">
        <v>150</v>
      </c>
      <c r="C72" s="19"/>
      <c r="D72" s="19"/>
      <c r="E72" s="19"/>
      <c r="F72" s="19">
        <v>626.45000000000005</v>
      </c>
      <c r="G72" s="19"/>
      <c r="H72" s="19">
        <v>813.9</v>
      </c>
      <c r="I72" s="19">
        <v>813.9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 t="e">
        <f t="shared" si="84"/>
        <v>#DIV/0!</v>
      </c>
      <c r="AI72" s="19"/>
    </row>
    <row r="73" spans="1:39" ht="18" hidden="1" customHeight="1" x14ac:dyDescent="0.25">
      <c r="A73" s="11" t="s">
        <v>151</v>
      </c>
      <c r="B73" s="30" t="s">
        <v>152</v>
      </c>
      <c r="C73" s="19"/>
      <c r="D73" s="19"/>
      <c r="E73" s="19"/>
      <c r="F73" s="19">
        <v>366.1</v>
      </c>
      <c r="G73" s="19">
        <v>183.4</v>
      </c>
      <c r="H73" s="19">
        <v>183.4</v>
      </c>
      <c r="I73" s="19">
        <v>183.4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 t="e">
        <f t="shared" si="84"/>
        <v>#DIV/0!</v>
      </c>
      <c r="AI73" s="19"/>
      <c r="AM73" s="35"/>
    </row>
    <row r="74" spans="1:39" ht="18" hidden="1" customHeight="1" x14ac:dyDescent="0.25">
      <c r="A74" s="11" t="s">
        <v>153</v>
      </c>
      <c r="B74" s="30" t="s">
        <v>154</v>
      </c>
      <c r="C74" s="19"/>
      <c r="D74" s="19"/>
      <c r="E74" s="19"/>
      <c r="F74" s="19">
        <v>249.43997999999999</v>
      </c>
      <c r="G74" s="19"/>
      <c r="H74" s="19">
        <v>18.399999999999999</v>
      </c>
      <c r="I74" s="19">
        <v>18.36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 t="e">
        <f t="shared" si="84"/>
        <v>#DIV/0!</v>
      </c>
      <c r="AI74" s="19"/>
    </row>
    <row r="75" spans="1:39" ht="18" hidden="1" customHeight="1" x14ac:dyDescent="0.25">
      <c r="A75" s="11"/>
      <c r="B75" s="30" t="s">
        <v>155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 t="e">
        <f t="shared" si="84"/>
        <v>#DIV/0!</v>
      </c>
      <c r="AI75" s="19"/>
    </row>
    <row r="76" spans="1:39" ht="18" hidden="1" customHeight="1" x14ac:dyDescent="0.25">
      <c r="A76" s="11"/>
      <c r="B76" s="30" t="s">
        <v>156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 t="e">
        <f t="shared" si="84"/>
        <v>#DIV/0!</v>
      </c>
      <c r="AI76" s="19"/>
    </row>
    <row r="77" spans="1:39" ht="18" hidden="1" customHeight="1" x14ac:dyDescent="0.25">
      <c r="A77" s="11"/>
      <c r="B77" s="30" t="s">
        <v>157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 t="e">
        <f t="shared" si="84"/>
        <v>#DIV/0!</v>
      </c>
      <c r="AI77" s="19"/>
    </row>
    <row r="78" spans="1:39" ht="18" hidden="1" customHeight="1" x14ac:dyDescent="0.25">
      <c r="A78" s="11"/>
      <c r="B78" s="30" t="s">
        <v>158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 t="e">
        <f t="shared" si="84"/>
        <v>#DIV/0!</v>
      </c>
      <c r="AI78" s="19"/>
    </row>
    <row r="79" spans="1:39" ht="27.75" customHeight="1" x14ac:dyDescent="0.25">
      <c r="A79" s="12" t="s">
        <v>159</v>
      </c>
      <c r="B79" s="13" t="s">
        <v>160</v>
      </c>
      <c r="C79" s="14">
        <f t="shared" ref="C79:Z79" si="85">C81+C82</f>
        <v>264.39999999999998</v>
      </c>
      <c r="D79" s="14">
        <f t="shared" si="85"/>
        <v>241.9</v>
      </c>
      <c r="E79" s="14">
        <f t="shared" si="85"/>
        <v>241.9</v>
      </c>
      <c r="F79" s="14">
        <f t="shared" si="85"/>
        <v>241.9</v>
      </c>
      <c r="G79" s="14">
        <f t="shared" si="85"/>
        <v>174</v>
      </c>
      <c r="H79" s="14">
        <f t="shared" si="85"/>
        <v>174</v>
      </c>
      <c r="I79" s="14">
        <f t="shared" si="85"/>
        <v>174</v>
      </c>
      <c r="J79" s="14">
        <f t="shared" si="85"/>
        <v>203</v>
      </c>
      <c r="K79" s="14">
        <f t="shared" si="85"/>
        <v>298</v>
      </c>
      <c r="L79" s="14">
        <f>L81+L82</f>
        <v>298</v>
      </c>
      <c r="M79" s="14">
        <f>M81+M82</f>
        <v>298</v>
      </c>
      <c r="N79" s="14">
        <f t="shared" ref="N79:O79" si="86">N81+N82</f>
        <v>199</v>
      </c>
      <c r="O79" s="14">
        <f t="shared" si="86"/>
        <v>182.2</v>
      </c>
      <c r="P79" s="14">
        <f>P81+P82</f>
        <v>182.2</v>
      </c>
      <c r="Q79" s="14">
        <f>Q81+Q82</f>
        <v>182.2</v>
      </c>
      <c r="R79" s="14">
        <f t="shared" ref="R79:S79" si="87">R81+R82</f>
        <v>210</v>
      </c>
      <c r="S79" s="14">
        <f t="shared" si="87"/>
        <v>210</v>
      </c>
      <c r="T79" s="14">
        <f>T81+T82</f>
        <v>210</v>
      </c>
      <c r="U79" s="14">
        <f>U81+U82</f>
        <v>210</v>
      </c>
      <c r="V79" s="14">
        <f t="shared" ref="V79:W79" si="88">V81+V82</f>
        <v>221.2</v>
      </c>
      <c r="W79" s="14">
        <f t="shared" si="88"/>
        <v>132</v>
      </c>
      <c r="X79" s="14">
        <f>X81+X82</f>
        <v>132</v>
      </c>
      <c r="Y79" s="14">
        <f>Y81+Y82</f>
        <v>132</v>
      </c>
      <c r="Z79" s="14">
        <f t="shared" si="85"/>
        <v>237.1</v>
      </c>
      <c r="AA79" s="14">
        <f>AA81+AA82+AA80</f>
        <v>239.14</v>
      </c>
      <c r="AB79" s="14">
        <f t="shared" ref="AB79:AB83" si="89">AA79-Z79</f>
        <v>2.039999999999992</v>
      </c>
      <c r="AC79" s="14">
        <f>AA79/Z79*100</f>
        <v>100.86039645719104</v>
      </c>
      <c r="AD79" s="14">
        <f>AD81+AD82+AD80</f>
        <v>239.14</v>
      </c>
      <c r="AE79" s="14">
        <f>AD79-AA79</f>
        <v>0</v>
      </c>
      <c r="AF79" s="14">
        <f>AD79/Z79*100</f>
        <v>100.86039645719104</v>
      </c>
      <c r="AG79" s="14">
        <f>AD79/AA79*100</f>
        <v>100</v>
      </c>
      <c r="AH79" s="14">
        <f t="shared" si="84"/>
        <v>181.16666666666666</v>
      </c>
      <c r="AI79" s="14">
        <f>AI81+AI82+AI80</f>
        <v>239.14</v>
      </c>
    </row>
    <row r="80" spans="1:39" ht="27.75" customHeight="1" x14ac:dyDescent="0.25">
      <c r="A80" s="11" t="s">
        <v>161</v>
      </c>
      <c r="B80" s="30" t="s">
        <v>162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9">
        <v>2.04</v>
      </c>
      <c r="AB80" s="19">
        <f t="shared" si="89"/>
        <v>2.04</v>
      </c>
      <c r="AC80" s="19">
        <v>100</v>
      </c>
      <c r="AD80" s="19">
        <v>2.04</v>
      </c>
      <c r="AE80" s="19">
        <f>AD80-AA80</f>
        <v>0</v>
      </c>
      <c r="AF80" s="19">
        <v>100</v>
      </c>
      <c r="AG80" s="19">
        <f>AD80/AA80*100</f>
        <v>100</v>
      </c>
      <c r="AH80" s="19">
        <v>100</v>
      </c>
      <c r="AI80" s="19">
        <v>2.04</v>
      </c>
    </row>
    <row r="81" spans="1:35" ht="38.25" customHeight="1" x14ac:dyDescent="0.25">
      <c r="A81" s="11" t="s">
        <v>163</v>
      </c>
      <c r="B81" s="30" t="s">
        <v>164</v>
      </c>
      <c r="C81" s="19">
        <v>20</v>
      </c>
      <c r="D81" s="19">
        <v>29</v>
      </c>
      <c r="E81" s="19">
        <v>29</v>
      </c>
      <c r="F81" s="19">
        <v>29</v>
      </c>
      <c r="G81" s="19">
        <v>30</v>
      </c>
      <c r="H81" s="19">
        <v>30</v>
      </c>
      <c r="I81" s="19">
        <v>30</v>
      </c>
      <c r="J81" s="19">
        <v>39</v>
      </c>
      <c r="K81" s="19">
        <v>134</v>
      </c>
      <c r="L81" s="19">
        <v>134</v>
      </c>
      <c r="M81" s="19">
        <v>134</v>
      </c>
      <c r="N81" s="19">
        <v>31</v>
      </c>
      <c r="O81" s="19">
        <v>31</v>
      </c>
      <c r="P81" s="19">
        <v>31</v>
      </c>
      <c r="Q81" s="19">
        <v>31</v>
      </c>
      <c r="R81" s="19">
        <v>42</v>
      </c>
      <c r="S81" s="19">
        <v>42</v>
      </c>
      <c r="T81" s="19">
        <v>42</v>
      </c>
      <c r="U81" s="19">
        <v>42</v>
      </c>
      <c r="V81" s="19">
        <v>32</v>
      </c>
      <c r="W81" s="19">
        <v>32</v>
      </c>
      <c r="X81" s="19">
        <v>32</v>
      </c>
      <c r="Y81" s="19">
        <v>32</v>
      </c>
      <c r="Z81" s="19">
        <v>27</v>
      </c>
      <c r="AA81" s="19">
        <v>27</v>
      </c>
      <c r="AB81" s="19">
        <f t="shared" si="89"/>
        <v>0</v>
      </c>
      <c r="AC81" s="19">
        <f>AA81/Z81*100</f>
        <v>100</v>
      </c>
      <c r="AD81" s="19">
        <v>27</v>
      </c>
      <c r="AE81" s="19">
        <f>AD81-AA81</f>
        <v>0</v>
      </c>
      <c r="AF81" s="19">
        <f>AD81/Z81*100</f>
        <v>100</v>
      </c>
      <c r="AG81" s="19">
        <f>AD81/AA81*100</f>
        <v>100</v>
      </c>
      <c r="AH81" s="19">
        <f t="shared" si="84"/>
        <v>84.375</v>
      </c>
      <c r="AI81" s="19">
        <v>27</v>
      </c>
    </row>
    <row r="82" spans="1:35" ht="42" customHeight="1" x14ac:dyDescent="0.25">
      <c r="A82" s="11" t="s">
        <v>165</v>
      </c>
      <c r="B82" s="30" t="s">
        <v>166</v>
      </c>
      <c r="C82" s="19">
        <v>244.4</v>
      </c>
      <c r="D82" s="19">
        <v>212.9</v>
      </c>
      <c r="E82" s="19">
        <v>212.9</v>
      </c>
      <c r="F82" s="19">
        <v>212.9</v>
      </c>
      <c r="G82" s="19">
        <v>144</v>
      </c>
      <c r="H82" s="19">
        <v>144</v>
      </c>
      <c r="I82" s="19">
        <v>144</v>
      </c>
      <c r="J82" s="19">
        <v>164</v>
      </c>
      <c r="K82" s="19">
        <v>164</v>
      </c>
      <c r="L82" s="19">
        <v>164</v>
      </c>
      <c r="M82" s="19">
        <v>164</v>
      </c>
      <c r="N82" s="19">
        <v>168</v>
      </c>
      <c r="O82" s="19">
        <v>151.19999999999999</v>
      </c>
      <c r="P82" s="19">
        <v>151.19999999999999</v>
      </c>
      <c r="Q82" s="19">
        <v>151.19999999999999</v>
      </c>
      <c r="R82" s="19">
        <v>168</v>
      </c>
      <c r="S82" s="19">
        <v>168</v>
      </c>
      <c r="T82" s="19">
        <v>168</v>
      </c>
      <c r="U82" s="19">
        <v>168</v>
      </c>
      <c r="V82" s="19">
        <v>189.2</v>
      </c>
      <c r="W82" s="19">
        <v>100</v>
      </c>
      <c r="X82" s="19">
        <v>100</v>
      </c>
      <c r="Y82" s="19">
        <v>100</v>
      </c>
      <c r="Z82" s="19">
        <v>210.1</v>
      </c>
      <c r="AA82" s="19">
        <v>210.1</v>
      </c>
      <c r="AB82" s="19">
        <f t="shared" si="89"/>
        <v>0</v>
      </c>
      <c r="AC82" s="19">
        <f>AA82/Z82*100</f>
        <v>100</v>
      </c>
      <c r="AD82" s="19">
        <v>210.1</v>
      </c>
      <c r="AE82" s="19">
        <f>AD82-AA82</f>
        <v>0</v>
      </c>
      <c r="AF82" s="19">
        <f>AD82/Z82*100</f>
        <v>100</v>
      </c>
      <c r="AG82" s="19">
        <f>AD82/AA82*100</f>
        <v>100</v>
      </c>
      <c r="AH82" s="19">
        <f t="shared" si="84"/>
        <v>210.1</v>
      </c>
      <c r="AI82" s="19">
        <v>210.1</v>
      </c>
    </row>
    <row r="83" spans="1:35" ht="24.75" customHeight="1" x14ac:dyDescent="0.25">
      <c r="A83" s="12" t="s">
        <v>167</v>
      </c>
      <c r="B83" s="13" t="s">
        <v>168</v>
      </c>
      <c r="C83" s="14">
        <f t="shared" ref="C83:Z83" si="90">C87</f>
        <v>0</v>
      </c>
      <c r="D83" s="14">
        <f t="shared" si="90"/>
        <v>0</v>
      </c>
      <c r="E83" s="14">
        <f t="shared" si="90"/>
        <v>1893.97</v>
      </c>
      <c r="F83" s="14">
        <f t="shared" si="90"/>
        <v>1893.96775</v>
      </c>
      <c r="G83" s="14">
        <f t="shared" si="90"/>
        <v>500</v>
      </c>
      <c r="H83" s="14">
        <f t="shared" si="90"/>
        <v>2594.1999999999998</v>
      </c>
      <c r="I83" s="14">
        <f t="shared" si="90"/>
        <v>2594.1899400000002</v>
      </c>
      <c r="J83" s="14">
        <f t="shared" si="90"/>
        <v>1212.7</v>
      </c>
      <c r="K83" s="14">
        <f>K87+K86</f>
        <v>5024.5999999999995</v>
      </c>
      <c r="L83" s="14">
        <f>L87+L86</f>
        <v>5024.6755700000003</v>
      </c>
      <c r="M83" s="14">
        <f>M87+M86</f>
        <v>5024.6755600000006</v>
      </c>
      <c r="N83" s="14">
        <f t="shared" ref="N83" si="91">N87</f>
        <v>3684.6</v>
      </c>
      <c r="O83" s="14">
        <f>O87+O86</f>
        <v>9389.2999999999993</v>
      </c>
      <c r="P83" s="14">
        <f>P87+P86</f>
        <v>9365.3609400000005</v>
      </c>
      <c r="Q83" s="14">
        <f>Q87+Q86</f>
        <v>9365.3609400000005</v>
      </c>
      <c r="R83" s="14">
        <f t="shared" ref="R83" si="92">R87</f>
        <v>5204.3</v>
      </c>
      <c r="S83" s="14">
        <f>S87+S86</f>
        <v>7955.32</v>
      </c>
      <c r="T83" s="14">
        <f>T87+T86</f>
        <v>7965.9280099999996</v>
      </c>
      <c r="U83" s="14">
        <f>U87+U86</f>
        <v>7965.9280099999996</v>
      </c>
      <c r="V83" s="14">
        <f t="shared" ref="V83" si="93">V87</f>
        <v>1586.3</v>
      </c>
      <c r="W83" s="14">
        <f>W87+W86</f>
        <v>11923</v>
      </c>
      <c r="X83" s="14">
        <f>X87+X86</f>
        <v>11906.99444</v>
      </c>
      <c r="Y83" s="14">
        <f>Y87+Y86</f>
        <v>11906.99444</v>
      </c>
      <c r="Z83" s="14">
        <f t="shared" si="90"/>
        <v>786.8</v>
      </c>
      <c r="AA83" s="14">
        <f>AA87+AA86</f>
        <v>6200.59</v>
      </c>
      <c r="AB83" s="14">
        <f t="shared" si="89"/>
        <v>5413.79</v>
      </c>
      <c r="AC83" s="14">
        <f>AA83/Z83*100</f>
        <v>788.07702084392486</v>
      </c>
      <c r="AD83" s="14">
        <f>AD87+AD86</f>
        <v>6200.5888999999997</v>
      </c>
      <c r="AE83" s="14">
        <f>AD83-AA83</f>
        <v>-1.1000000004059984E-3</v>
      </c>
      <c r="AF83" s="14">
        <v>100</v>
      </c>
      <c r="AG83" s="14">
        <f>AD83/AA83*100</f>
        <v>99.999982259752699</v>
      </c>
      <c r="AH83" s="14">
        <f t="shared" si="84"/>
        <v>52.075180947174438</v>
      </c>
      <c r="AI83" s="14">
        <f>AI87+AI86</f>
        <v>6200.5888999999997</v>
      </c>
    </row>
    <row r="84" spans="1:35" ht="23.25" hidden="1" customHeight="1" x14ac:dyDescent="0.25">
      <c r="A84" s="11" t="s">
        <v>169</v>
      </c>
      <c r="B84" s="32" t="s">
        <v>170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 t="e">
        <f t="shared" si="84"/>
        <v>#DIV/0!</v>
      </c>
      <c r="AI84" s="14"/>
    </row>
    <row r="85" spans="1:35" ht="23.25" hidden="1" customHeight="1" x14ac:dyDescent="0.25">
      <c r="A85" s="11" t="s">
        <v>171</v>
      </c>
      <c r="B85" s="32" t="s">
        <v>172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 t="e">
        <f t="shared" si="84"/>
        <v>#DIV/0!</v>
      </c>
      <c r="AI85" s="14"/>
    </row>
    <row r="86" spans="1:35" ht="41.25" hidden="1" customHeight="1" x14ac:dyDescent="0.25">
      <c r="A86" s="24" t="s">
        <v>173</v>
      </c>
      <c r="B86" s="25" t="s">
        <v>174</v>
      </c>
      <c r="C86" s="14"/>
      <c r="D86" s="14"/>
      <c r="E86" s="14"/>
      <c r="F86" s="14"/>
      <c r="G86" s="14"/>
      <c r="H86" s="14"/>
      <c r="I86" s="14"/>
      <c r="J86" s="14"/>
      <c r="K86" s="14">
        <v>148.19999999999999</v>
      </c>
      <c r="L86" s="14">
        <v>148.27401</v>
      </c>
      <c r="M86" s="14">
        <v>148.274</v>
      </c>
      <c r="N86" s="14"/>
      <c r="O86" s="14"/>
      <c r="P86" s="14"/>
      <c r="Q86" s="14">
        <v>0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 t="e">
        <f t="shared" si="84"/>
        <v>#DIV/0!</v>
      </c>
      <c r="AI86" s="14"/>
    </row>
    <row r="87" spans="1:35" ht="28.5" customHeight="1" x14ac:dyDescent="0.25">
      <c r="A87" s="11" t="s">
        <v>175</v>
      </c>
      <c r="B87" s="13" t="s">
        <v>176</v>
      </c>
      <c r="C87" s="14">
        <f>C88</f>
        <v>0</v>
      </c>
      <c r="D87" s="14">
        <f t="shared" ref="D87:AA87" si="94">D88</f>
        <v>0</v>
      </c>
      <c r="E87" s="14">
        <f t="shared" si="94"/>
        <v>1893.97</v>
      </c>
      <c r="F87" s="14">
        <f t="shared" si="94"/>
        <v>1893.96775</v>
      </c>
      <c r="G87" s="14">
        <f t="shared" si="94"/>
        <v>500</v>
      </c>
      <c r="H87" s="14">
        <f t="shared" si="94"/>
        <v>2594.1999999999998</v>
      </c>
      <c r="I87" s="14">
        <f t="shared" si="94"/>
        <v>2594.1899400000002</v>
      </c>
      <c r="J87" s="14">
        <f t="shared" si="94"/>
        <v>1212.7</v>
      </c>
      <c r="K87" s="14">
        <f t="shared" si="94"/>
        <v>4876.3999999999996</v>
      </c>
      <c r="L87" s="14">
        <f>L88</f>
        <v>4876.4015600000002</v>
      </c>
      <c r="M87" s="14">
        <f>M88</f>
        <v>4876.4015600000002</v>
      </c>
      <c r="N87" s="14">
        <f t="shared" si="94"/>
        <v>3684.6</v>
      </c>
      <c r="O87" s="14">
        <f t="shared" si="94"/>
        <v>9389.2999999999993</v>
      </c>
      <c r="P87" s="14">
        <f>P88</f>
        <v>9365.3609400000005</v>
      </c>
      <c r="Q87" s="14">
        <f>Q88</f>
        <v>9365.3609400000005</v>
      </c>
      <c r="R87" s="14">
        <f t="shared" si="94"/>
        <v>5204.3</v>
      </c>
      <c r="S87" s="14">
        <f t="shared" si="94"/>
        <v>7955.32</v>
      </c>
      <c r="T87" s="14">
        <f>T88</f>
        <v>7965.9280099999996</v>
      </c>
      <c r="U87" s="14">
        <f>U88</f>
        <v>7965.9280099999996</v>
      </c>
      <c r="V87" s="14">
        <f t="shared" si="94"/>
        <v>1586.3</v>
      </c>
      <c r="W87" s="14">
        <f t="shared" si="94"/>
        <v>11923</v>
      </c>
      <c r="X87" s="14">
        <f>X88</f>
        <v>11906.99444</v>
      </c>
      <c r="Y87" s="14">
        <f>Y88</f>
        <v>11906.99444</v>
      </c>
      <c r="Z87" s="14">
        <f t="shared" si="94"/>
        <v>786.8</v>
      </c>
      <c r="AA87" s="14">
        <f t="shared" si="94"/>
        <v>6200.59</v>
      </c>
      <c r="AB87" s="14">
        <f>AA87-Z87</f>
        <v>5413.79</v>
      </c>
      <c r="AC87" s="14">
        <f>AA87/Z87*100</f>
        <v>788.07702084392486</v>
      </c>
      <c r="AD87" s="14">
        <f>AD88</f>
        <v>6200.5888999999997</v>
      </c>
      <c r="AE87" s="14">
        <f>AD87-AA87</f>
        <v>-1.1000000004059984E-3</v>
      </c>
      <c r="AF87" s="14">
        <v>100</v>
      </c>
      <c r="AG87" s="14">
        <f>AD87/AA87*100</f>
        <v>99.999982259752699</v>
      </c>
      <c r="AH87" s="14">
        <f t="shared" si="84"/>
        <v>52.075180947174438</v>
      </c>
      <c r="AI87" s="14">
        <f>AI88</f>
        <v>6200.5888999999997</v>
      </c>
    </row>
    <row r="88" spans="1:35" ht="26.25" customHeight="1" x14ac:dyDescent="0.25">
      <c r="A88" s="11" t="s">
        <v>175</v>
      </c>
      <c r="B88" s="32" t="s">
        <v>176</v>
      </c>
      <c r="C88" s="19">
        <v>0</v>
      </c>
      <c r="D88" s="19">
        <v>0</v>
      </c>
      <c r="E88" s="19">
        <v>1893.97</v>
      </c>
      <c r="F88" s="19">
        <v>1893.96775</v>
      </c>
      <c r="G88" s="19">
        <v>500</v>
      </c>
      <c r="H88" s="19">
        <v>2594.1999999999998</v>
      </c>
      <c r="I88" s="19">
        <v>2594.1899400000002</v>
      </c>
      <c r="J88" s="19">
        <v>1212.7</v>
      </c>
      <c r="K88" s="19">
        <v>4876.3999999999996</v>
      </c>
      <c r="L88" s="19">
        <v>4876.4015600000002</v>
      </c>
      <c r="M88" s="19">
        <v>4876.4015600000002</v>
      </c>
      <c r="N88" s="19">
        <v>3684.6</v>
      </c>
      <c r="O88" s="19">
        <v>9389.2999999999993</v>
      </c>
      <c r="P88" s="19">
        <v>9365.3609400000005</v>
      </c>
      <c r="Q88" s="19">
        <v>9365.3609400000005</v>
      </c>
      <c r="R88" s="19">
        <v>5204.3</v>
      </c>
      <c r="S88" s="19">
        <v>7955.32</v>
      </c>
      <c r="T88" s="19">
        <v>7965.9280099999996</v>
      </c>
      <c r="U88" s="19">
        <v>7965.9280099999996</v>
      </c>
      <c r="V88" s="19">
        <v>1586.3</v>
      </c>
      <c r="W88" s="19">
        <v>11923</v>
      </c>
      <c r="X88" s="19">
        <v>11906.99444</v>
      </c>
      <c r="Y88" s="19">
        <v>11906.99444</v>
      </c>
      <c r="Z88" s="19">
        <v>786.8</v>
      </c>
      <c r="AA88" s="19">
        <v>6200.59</v>
      </c>
      <c r="AB88" s="19">
        <f t="shared" ref="AB88:AB111" si="95">AA88-Z88</f>
        <v>5413.79</v>
      </c>
      <c r="AC88" s="19">
        <f>AA88/Z88*100</f>
        <v>788.07702084392486</v>
      </c>
      <c r="AD88" s="19">
        <v>6200.5888999999997</v>
      </c>
      <c r="AE88" s="19">
        <f>AD88-AA88</f>
        <v>-1.1000000004059984E-3</v>
      </c>
      <c r="AF88" s="19">
        <f>AD88/Z88*100</f>
        <v>788.07688103711234</v>
      </c>
      <c r="AG88" s="19">
        <f>AD88/AA88*100</f>
        <v>99.999982259752699</v>
      </c>
      <c r="AH88" s="19">
        <f t="shared" si="84"/>
        <v>52.075180947174438</v>
      </c>
      <c r="AI88" s="19">
        <v>6200.5888999999997</v>
      </c>
    </row>
    <row r="89" spans="1:35" ht="19.5" customHeight="1" x14ac:dyDescent="0.25">
      <c r="A89" s="11"/>
      <c r="B89" s="32" t="s">
        <v>177</v>
      </c>
      <c r="C89" s="19"/>
      <c r="D89" s="19"/>
      <c r="E89" s="19"/>
      <c r="F89" s="19"/>
      <c r="G89" s="19"/>
      <c r="H89" s="19"/>
      <c r="I89" s="19"/>
      <c r="J89" s="19">
        <v>1009.3</v>
      </c>
      <c r="K89" s="19">
        <v>1881.9</v>
      </c>
      <c r="L89" s="19">
        <v>1881.9</v>
      </c>
      <c r="M89" s="19">
        <v>1881.9</v>
      </c>
      <c r="N89" s="19">
        <v>681.6</v>
      </c>
      <c r="O89" s="19">
        <v>681.6</v>
      </c>
      <c r="P89" s="19">
        <v>681.6</v>
      </c>
      <c r="Q89" s="19"/>
      <c r="R89" s="19">
        <v>645.4</v>
      </c>
      <c r="S89" s="19">
        <v>645.4</v>
      </c>
      <c r="T89" s="19">
        <v>645.4</v>
      </c>
      <c r="U89" s="19"/>
      <c r="V89" s="19">
        <v>752.3</v>
      </c>
      <c r="W89" s="19">
        <v>2400.3000000000002</v>
      </c>
      <c r="X89" s="19">
        <v>2400.3000000000002</v>
      </c>
      <c r="Y89" s="19"/>
      <c r="Z89" s="19">
        <v>737.8</v>
      </c>
      <c r="AA89" s="19">
        <v>737.8</v>
      </c>
      <c r="AB89" s="19">
        <f t="shared" si="95"/>
        <v>0</v>
      </c>
      <c r="AC89" s="19">
        <f t="shared" ref="AC89:AC107" si="96">AA89/Z89*100</f>
        <v>100</v>
      </c>
      <c r="AD89" s="19">
        <v>737.8</v>
      </c>
      <c r="AE89" s="19">
        <f t="shared" ref="AE89:AE111" si="97">AD89-AA89</f>
        <v>0</v>
      </c>
      <c r="AF89" s="19">
        <f t="shared" ref="AF89:AF107" si="98">AD89/Z89*100</f>
        <v>100</v>
      </c>
      <c r="AG89" s="19">
        <f t="shared" ref="AG89:AG111" si="99">AD89/AA89*100</f>
        <v>100</v>
      </c>
      <c r="AH89" s="19">
        <f t="shared" si="84"/>
        <v>30.737824438611838</v>
      </c>
      <c r="AI89" s="19"/>
    </row>
    <row r="90" spans="1:35" ht="27.75" customHeight="1" x14ac:dyDescent="0.25">
      <c r="A90" s="11"/>
      <c r="B90" s="32" t="s">
        <v>178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>
        <v>1134.5999999999999</v>
      </c>
      <c r="P90" s="19">
        <v>1134.5999999999999</v>
      </c>
      <c r="Q90" s="19"/>
      <c r="R90" s="19">
        <v>1941</v>
      </c>
      <c r="S90" s="19">
        <v>1941</v>
      </c>
      <c r="T90" s="19">
        <v>1941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20.25" customHeight="1" x14ac:dyDescent="0.25">
      <c r="A91" s="11"/>
      <c r="B91" s="32" t="s">
        <v>179</v>
      </c>
      <c r="C91" s="19"/>
      <c r="D91" s="19"/>
      <c r="E91" s="19">
        <v>1163.4000000000001</v>
      </c>
      <c r="F91" s="19">
        <v>1041.96775</v>
      </c>
      <c r="G91" s="19"/>
      <c r="H91" s="19">
        <v>1209.2</v>
      </c>
      <c r="I91" s="19">
        <v>1209.18994</v>
      </c>
      <c r="J91" s="19"/>
      <c r="K91" s="19">
        <v>1501.8</v>
      </c>
      <c r="L91" s="19">
        <v>1501.8</v>
      </c>
      <c r="M91" s="19">
        <v>1501.8</v>
      </c>
      <c r="N91" s="19"/>
      <c r="O91" s="19">
        <v>1702.9</v>
      </c>
      <c r="P91" s="19">
        <v>1678.9286</v>
      </c>
      <c r="Q91" s="19"/>
      <c r="R91" s="19"/>
      <c r="S91" s="19">
        <v>1333.07</v>
      </c>
      <c r="T91" s="19">
        <v>1343.75</v>
      </c>
      <c r="U91" s="19"/>
      <c r="V91" s="19"/>
      <c r="W91" s="19">
        <v>887.16</v>
      </c>
      <c r="X91" s="19">
        <v>887.15950999999995</v>
      </c>
      <c r="Y91" s="19"/>
      <c r="Z91" s="19"/>
      <c r="AA91" s="19">
        <v>720.81</v>
      </c>
      <c r="AB91" s="19">
        <f t="shared" si="95"/>
        <v>720.81</v>
      </c>
      <c r="AC91" s="19">
        <v>100</v>
      </c>
      <c r="AD91" s="19">
        <v>720.88900000000001</v>
      </c>
      <c r="AE91" s="19">
        <f t="shared" si="97"/>
        <v>7.9000000000064574E-2</v>
      </c>
      <c r="AF91" s="19">
        <v>100</v>
      </c>
      <c r="AG91" s="19">
        <f t="shared" si="99"/>
        <v>100.01095989234334</v>
      </c>
      <c r="AH91" s="19">
        <f t="shared" si="84"/>
        <v>81.258104306405968</v>
      </c>
      <c r="AI91" s="19"/>
    </row>
    <row r="92" spans="1:35" ht="26.25" customHeight="1" x14ac:dyDescent="0.25">
      <c r="A92" s="11"/>
      <c r="B92" s="32" t="s">
        <v>180</v>
      </c>
      <c r="C92" s="19"/>
      <c r="D92" s="19"/>
      <c r="E92" s="19">
        <v>25</v>
      </c>
      <c r="F92" s="19">
        <v>35</v>
      </c>
      <c r="G92" s="19"/>
      <c r="H92" s="19">
        <v>35</v>
      </c>
      <c r="I92" s="19">
        <v>35</v>
      </c>
      <c r="J92" s="19">
        <v>35</v>
      </c>
      <c r="K92" s="19">
        <v>35</v>
      </c>
      <c r="L92" s="19">
        <v>35</v>
      </c>
      <c r="M92" s="19">
        <v>35</v>
      </c>
      <c r="N92" s="19">
        <v>35</v>
      </c>
      <c r="O92" s="19">
        <v>35</v>
      </c>
      <c r="P92" s="19">
        <v>35</v>
      </c>
      <c r="Q92" s="19"/>
      <c r="R92" s="19">
        <v>35</v>
      </c>
      <c r="S92" s="19">
        <v>35</v>
      </c>
      <c r="T92" s="19">
        <v>35</v>
      </c>
      <c r="U92" s="19"/>
      <c r="V92" s="19">
        <v>35</v>
      </c>
      <c r="W92" s="19">
        <v>35</v>
      </c>
      <c r="X92" s="19">
        <v>35</v>
      </c>
      <c r="Y92" s="19"/>
      <c r="Z92" s="19">
        <v>35</v>
      </c>
      <c r="AA92" s="19">
        <v>35</v>
      </c>
      <c r="AB92" s="19">
        <f t="shared" si="95"/>
        <v>0</v>
      </c>
      <c r="AC92" s="19">
        <f t="shared" si="96"/>
        <v>100</v>
      </c>
      <c r="AD92" s="19">
        <v>35</v>
      </c>
      <c r="AE92" s="19">
        <f t="shared" si="97"/>
        <v>0</v>
      </c>
      <c r="AF92" s="19">
        <f t="shared" si="98"/>
        <v>100</v>
      </c>
      <c r="AG92" s="19">
        <f t="shared" si="99"/>
        <v>100</v>
      </c>
      <c r="AH92" s="19">
        <f t="shared" si="84"/>
        <v>100</v>
      </c>
      <c r="AI92" s="19"/>
    </row>
    <row r="93" spans="1:35" ht="15.75" customHeight="1" x14ac:dyDescent="0.25">
      <c r="A93" s="11"/>
      <c r="B93" s="32" t="s">
        <v>181</v>
      </c>
      <c r="C93" s="19"/>
      <c r="D93" s="19"/>
      <c r="E93" s="19"/>
      <c r="F93" s="19"/>
      <c r="G93" s="19"/>
      <c r="H93" s="19">
        <v>10</v>
      </c>
      <c r="I93" s="19">
        <v>10</v>
      </c>
      <c r="J93" s="19">
        <v>18.399999999999999</v>
      </c>
      <c r="K93" s="19">
        <f>63.9+25</f>
        <v>88.9</v>
      </c>
      <c r="L93" s="19">
        <f>63.9+25</f>
        <v>88.9</v>
      </c>
      <c r="M93" s="19">
        <f>63.9+25</f>
        <v>88.9</v>
      </c>
      <c r="N93" s="19">
        <v>18</v>
      </c>
      <c r="O93" s="19">
        <v>17</v>
      </c>
      <c r="P93" s="19">
        <v>17</v>
      </c>
      <c r="Q93" s="19"/>
      <c r="R93" s="19">
        <v>18</v>
      </c>
      <c r="S93" s="19">
        <v>18</v>
      </c>
      <c r="T93" s="19">
        <v>18</v>
      </c>
      <c r="U93" s="19"/>
      <c r="V93" s="19">
        <v>18</v>
      </c>
      <c r="W93" s="19">
        <v>18</v>
      </c>
      <c r="X93" s="19">
        <v>18</v>
      </c>
      <c r="Y93" s="19"/>
      <c r="Z93" s="19">
        <v>14</v>
      </c>
      <c r="AA93" s="19">
        <v>14</v>
      </c>
      <c r="AB93" s="19">
        <f t="shared" si="95"/>
        <v>0</v>
      </c>
      <c r="AC93" s="19">
        <f t="shared" si="96"/>
        <v>100</v>
      </c>
      <c r="AD93" s="19">
        <v>14</v>
      </c>
      <c r="AE93" s="19">
        <f t="shared" si="97"/>
        <v>0</v>
      </c>
      <c r="AF93" s="19">
        <f t="shared" si="98"/>
        <v>100</v>
      </c>
      <c r="AG93" s="19">
        <f t="shared" si="99"/>
        <v>100</v>
      </c>
      <c r="AH93" s="19">
        <f t="shared" si="84"/>
        <v>77.777777777777786</v>
      </c>
      <c r="AI93" s="19"/>
    </row>
    <row r="94" spans="1:35" ht="27.75" customHeight="1" x14ac:dyDescent="0.25">
      <c r="A94" s="11"/>
      <c r="B94" s="32" t="s">
        <v>182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v>30</v>
      </c>
      <c r="T94" s="19">
        <v>30</v>
      </c>
      <c r="U94" s="19"/>
      <c r="V94" s="19"/>
      <c r="W94" s="19">
        <v>25</v>
      </c>
      <c r="X94" s="19">
        <v>25</v>
      </c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5.75" hidden="1" customHeight="1" x14ac:dyDescent="0.25">
      <c r="A95" s="11"/>
      <c r="B95" s="32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57" customHeight="1" x14ac:dyDescent="0.25">
      <c r="A96" s="11"/>
      <c r="B96" s="30" t="s">
        <v>183</v>
      </c>
      <c r="C96" s="19"/>
      <c r="D96" s="19"/>
      <c r="E96" s="19"/>
      <c r="F96" s="19"/>
      <c r="G96" s="19"/>
      <c r="H96" s="19"/>
      <c r="I96" s="19"/>
      <c r="J96" s="19"/>
      <c r="K96" s="19">
        <f>1000+118.8</f>
        <v>1118.8</v>
      </c>
      <c r="L96" s="19">
        <f>1000+118.8</f>
        <v>1118.8</v>
      </c>
      <c r="M96" s="19">
        <f>1000+118.8</f>
        <v>1118.8</v>
      </c>
      <c r="N96" s="19"/>
      <c r="O96" s="19">
        <v>2500</v>
      </c>
      <c r="P96" s="19">
        <v>2500</v>
      </c>
      <c r="Q96" s="19"/>
      <c r="R96" s="19">
        <v>1522.9</v>
      </c>
      <c r="S96" s="19">
        <v>1984.82</v>
      </c>
      <c r="T96" s="19">
        <v>1984.82</v>
      </c>
      <c r="U96" s="19"/>
      <c r="V96" s="19">
        <v>224</v>
      </c>
      <c r="W96" s="19">
        <v>8116.98</v>
      </c>
      <c r="X96" s="19">
        <v>8116.9758599999996</v>
      </c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31.5" customHeight="1" x14ac:dyDescent="0.25">
      <c r="A97" s="11"/>
      <c r="B97" s="30" t="s">
        <v>184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v>401.5</v>
      </c>
      <c r="T97" s="19">
        <v>401.43</v>
      </c>
      <c r="U97" s="19"/>
      <c r="V97" s="19"/>
      <c r="W97" s="19"/>
      <c r="X97" s="19"/>
      <c r="Y97" s="19"/>
      <c r="Z97" s="19"/>
      <c r="AA97" s="19">
        <f>2000+953.89+106</f>
        <v>3059.89</v>
      </c>
      <c r="AB97" s="19">
        <f t="shared" si="95"/>
        <v>3059.89</v>
      </c>
      <c r="AC97" s="19">
        <v>100</v>
      </c>
      <c r="AD97" s="19">
        <f>2000+953.892+105.988</f>
        <v>3059.8799999999997</v>
      </c>
      <c r="AE97" s="19">
        <f t="shared" si="97"/>
        <v>-1.0000000000218279E-2</v>
      </c>
      <c r="AF97" s="19">
        <v>100</v>
      </c>
      <c r="AG97" s="19">
        <f t="shared" si="99"/>
        <v>99.999673190866332</v>
      </c>
      <c r="AH97" s="19">
        <v>100</v>
      </c>
      <c r="AI97" s="19"/>
    </row>
    <row r="98" spans="1:35" ht="38.25" hidden="1" customHeight="1" x14ac:dyDescent="0.25">
      <c r="A98" s="11"/>
      <c r="B98" s="30" t="s">
        <v>185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>
        <f t="shared" si="95"/>
        <v>0</v>
      </c>
      <c r="AC98" s="19" t="e">
        <f t="shared" si="96"/>
        <v>#DIV/0!</v>
      </c>
      <c r="AD98" s="19"/>
      <c r="AE98" s="19">
        <f t="shared" si="97"/>
        <v>0</v>
      </c>
      <c r="AF98" s="19" t="e">
        <f t="shared" si="98"/>
        <v>#DIV/0!</v>
      </c>
      <c r="AG98" s="19" t="e">
        <f t="shared" si="99"/>
        <v>#DIV/0!</v>
      </c>
      <c r="AH98" s="19" t="e">
        <f t="shared" si="84"/>
        <v>#DIV/0!</v>
      </c>
      <c r="AI98" s="19"/>
    </row>
    <row r="99" spans="1:35" ht="36.75" customHeight="1" x14ac:dyDescent="0.25">
      <c r="A99" s="11"/>
      <c r="B99" s="30" t="s">
        <v>186</v>
      </c>
      <c r="C99" s="19"/>
      <c r="D99" s="19"/>
      <c r="E99" s="19">
        <v>100</v>
      </c>
      <c r="F99" s="19">
        <v>610</v>
      </c>
      <c r="G99" s="19">
        <v>500</v>
      </c>
      <c r="H99" s="19">
        <v>900</v>
      </c>
      <c r="I99" s="19">
        <v>60</v>
      </c>
      <c r="J99" s="19">
        <v>150</v>
      </c>
      <c r="K99" s="19">
        <f>100+150</f>
        <v>250</v>
      </c>
      <c r="L99" s="19">
        <f>100+150</f>
        <v>250</v>
      </c>
      <c r="M99" s="19">
        <f>100+150</f>
        <v>250</v>
      </c>
      <c r="N99" s="19"/>
      <c r="O99" s="19"/>
      <c r="P99" s="19"/>
      <c r="Q99" s="19"/>
      <c r="R99" s="19"/>
      <c r="S99" s="19">
        <v>310</v>
      </c>
      <c r="T99" s="19">
        <v>310</v>
      </c>
      <c r="U99" s="19"/>
      <c r="V99" s="19">
        <v>60</v>
      </c>
      <c r="W99" s="19">
        <v>60</v>
      </c>
      <c r="X99" s="19">
        <v>59.881</v>
      </c>
      <c r="Y99" s="19"/>
      <c r="Z99" s="19"/>
      <c r="AA99" s="19">
        <v>22</v>
      </c>
      <c r="AB99" s="19">
        <f t="shared" si="95"/>
        <v>22</v>
      </c>
      <c r="AC99" s="19">
        <v>100</v>
      </c>
      <c r="AD99" s="19">
        <v>22</v>
      </c>
      <c r="AE99" s="19">
        <f t="shared" si="97"/>
        <v>0</v>
      </c>
      <c r="AF99" s="19">
        <v>100</v>
      </c>
      <c r="AG99" s="19">
        <f t="shared" si="99"/>
        <v>100</v>
      </c>
      <c r="AH99" s="19">
        <f t="shared" si="84"/>
        <v>36.73953340792572</v>
      </c>
      <c r="AI99" s="19"/>
    </row>
    <row r="100" spans="1:35" ht="15.75" hidden="1" customHeight="1" x14ac:dyDescent="0.25">
      <c r="A100" s="11"/>
      <c r="B100" s="32" t="s">
        <v>187</v>
      </c>
      <c r="C100" s="19"/>
      <c r="D100" s="19"/>
      <c r="E100" s="19"/>
      <c r="F100" s="19"/>
      <c r="G100" s="19"/>
      <c r="H100" s="19">
        <v>90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>
        <f t="shared" si="95"/>
        <v>0</v>
      </c>
      <c r="AC100" s="19" t="e">
        <f t="shared" si="96"/>
        <v>#DIV/0!</v>
      </c>
      <c r="AD100" s="19"/>
      <c r="AE100" s="19">
        <f t="shared" si="97"/>
        <v>0</v>
      </c>
      <c r="AF100" s="19" t="e">
        <f t="shared" si="98"/>
        <v>#DIV/0!</v>
      </c>
      <c r="AG100" s="19" t="e">
        <f t="shared" si="99"/>
        <v>#DIV/0!</v>
      </c>
      <c r="AH100" s="19" t="e">
        <f t="shared" si="84"/>
        <v>#DIV/0!</v>
      </c>
      <c r="AI100" s="19"/>
    </row>
    <row r="101" spans="1:35" ht="24.75" customHeight="1" x14ac:dyDescent="0.25">
      <c r="A101" s="11"/>
      <c r="B101" s="32" t="s">
        <v>188</v>
      </c>
      <c r="C101" s="19"/>
      <c r="D101" s="19"/>
      <c r="E101" s="19">
        <v>68.7</v>
      </c>
      <c r="F101" s="19">
        <v>207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v>214.5</v>
      </c>
      <c r="T101" s="19">
        <v>214.53</v>
      </c>
      <c r="U101" s="19"/>
      <c r="V101" s="19"/>
      <c r="W101" s="19"/>
      <c r="X101" s="19"/>
      <c r="Y101" s="19"/>
      <c r="Z101" s="19"/>
      <c r="AA101" s="19">
        <v>355.1</v>
      </c>
      <c r="AB101" s="19">
        <f t="shared" si="95"/>
        <v>355.1</v>
      </c>
      <c r="AC101" s="19">
        <v>100</v>
      </c>
      <c r="AD101" s="19">
        <v>355.1</v>
      </c>
      <c r="AE101" s="19">
        <f t="shared" si="97"/>
        <v>0</v>
      </c>
      <c r="AF101" s="19">
        <v>100</v>
      </c>
      <c r="AG101" s="19">
        <f t="shared" si="99"/>
        <v>100</v>
      </c>
      <c r="AH101" s="19">
        <v>100</v>
      </c>
      <c r="AI101" s="19"/>
    </row>
    <row r="102" spans="1:35" ht="15.75" hidden="1" customHeight="1" x14ac:dyDescent="0.25">
      <c r="A102" s="11"/>
      <c r="B102" s="32" t="s">
        <v>158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>
        <f t="shared" si="95"/>
        <v>0</v>
      </c>
      <c r="AC102" s="19" t="e">
        <f t="shared" si="96"/>
        <v>#DIV/0!</v>
      </c>
      <c r="AD102" s="19"/>
      <c r="AE102" s="19">
        <f t="shared" si="97"/>
        <v>0</v>
      </c>
      <c r="AF102" s="19" t="e">
        <f t="shared" si="98"/>
        <v>#DIV/0!</v>
      </c>
      <c r="AG102" s="19" t="e">
        <f t="shared" si="99"/>
        <v>#DIV/0!</v>
      </c>
      <c r="AH102" s="19" t="e">
        <f t="shared" si="84"/>
        <v>#DIV/0!</v>
      </c>
      <c r="AI102" s="19"/>
    </row>
    <row r="103" spans="1:35" ht="15.75" hidden="1" customHeight="1" x14ac:dyDescent="0.25">
      <c r="A103" s="11"/>
      <c r="B103" s="32" t="s">
        <v>189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>
        <f t="shared" si="95"/>
        <v>0</v>
      </c>
      <c r="AC103" s="19" t="e">
        <f t="shared" si="96"/>
        <v>#DIV/0!</v>
      </c>
      <c r="AD103" s="19"/>
      <c r="AE103" s="19">
        <f t="shared" si="97"/>
        <v>0</v>
      </c>
      <c r="AF103" s="19" t="e">
        <f t="shared" si="98"/>
        <v>#DIV/0!</v>
      </c>
      <c r="AG103" s="19" t="e">
        <f t="shared" si="99"/>
        <v>#DIV/0!</v>
      </c>
      <c r="AH103" s="19" t="e">
        <f t="shared" si="84"/>
        <v>#DIV/0!</v>
      </c>
      <c r="AI103" s="19"/>
    </row>
    <row r="104" spans="1:35" ht="15.75" hidden="1" customHeight="1" x14ac:dyDescent="0.25">
      <c r="A104" s="11"/>
      <c r="B104" s="32" t="s">
        <v>190</v>
      </c>
      <c r="C104" s="19"/>
      <c r="D104" s="19"/>
      <c r="E104" s="19"/>
      <c r="F104" s="19"/>
      <c r="G104" s="19"/>
      <c r="H104" s="19">
        <v>350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>
        <f t="shared" si="95"/>
        <v>0</v>
      </c>
      <c r="AC104" s="19" t="e">
        <f t="shared" si="96"/>
        <v>#DIV/0!</v>
      </c>
      <c r="AD104" s="19"/>
      <c r="AE104" s="19">
        <f t="shared" si="97"/>
        <v>0</v>
      </c>
      <c r="AF104" s="19" t="e">
        <f t="shared" si="98"/>
        <v>#DIV/0!</v>
      </c>
      <c r="AG104" s="19" t="e">
        <f t="shared" si="99"/>
        <v>#DIV/0!</v>
      </c>
      <c r="AH104" s="19" t="e">
        <f t="shared" si="84"/>
        <v>#DIV/0!</v>
      </c>
      <c r="AI104" s="19"/>
    </row>
    <row r="105" spans="1:35" ht="15.75" hidden="1" customHeight="1" x14ac:dyDescent="0.25">
      <c r="A105" s="11"/>
      <c r="B105" s="32" t="s">
        <v>191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>
        <f t="shared" si="95"/>
        <v>0</v>
      </c>
      <c r="AC105" s="19" t="e">
        <f t="shared" si="96"/>
        <v>#DIV/0!</v>
      </c>
      <c r="AD105" s="19"/>
      <c r="AE105" s="19">
        <f t="shared" si="97"/>
        <v>0</v>
      </c>
      <c r="AF105" s="19" t="e">
        <f t="shared" si="98"/>
        <v>#DIV/0!</v>
      </c>
      <c r="AG105" s="19" t="e">
        <f t="shared" si="99"/>
        <v>#DIV/0!</v>
      </c>
      <c r="AH105" s="19" t="e">
        <f t="shared" si="84"/>
        <v>#DIV/0!</v>
      </c>
      <c r="AI105" s="19"/>
    </row>
    <row r="106" spans="1:35" ht="15.75" hidden="1" customHeight="1" x14ac:dyDescent="0.25">
      <c r="A106" s="11"/>
      <c r="B106" s="32" t="s">
        <v>192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>
        <f t="shared" si="95"/>
        <v>0</v>
      </c>
      <c r="AC106" s="19" t="e">
        <f t="shared" si="96"/>
        <v>#DIV/0!</v>
      </c>
      <c r="AD106" s="19"/>
      <c r="AE106" s="19">
        <f t="shared" si="97"/>
        <v>0</v>
      </c>
      <c r="AF106" s="19" t="e">
        <f t="shared" si="98"/>
        <v>#DIV/0!</v>
      </c>
      <c r="AG106" s="19" t="e">
        <f t="shared" si="99"/>
        <v>#DIV/0!</v>
      </c>
      <c r="AH106" s="19" t="e">
        <f t="shared" si="84"/>
        <v>#DIV/0!</v>
      </c>
      <c r="AI106" s="19"/>
    </row>
    <row r="107" spans="1:35" ht="15.75" hidden="1" customHeight="1" x14ac:dyDescent="0.25">
      <c r="A107" s="11"/>
      <c r="B107" s="32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>
        <f t="shared" si="95"/>
        <v>0</v>
      </c>
      <c r="AC107" s="19" t="e">
        <f t="shared" si="96"/>
        <v>#DIV/0!</v>
      </c>
      <c r="AD107" s="19"/>
      <c r="AE107" s="19">
        <f t="shared" si="97"/>
        <v>0</v>
      </c>
      <c r="AF107" s="19" t="e">
        <f t="shared" si="98"/>
        <v>#DIV/0!</v>
      </c>
      <c r="AG107" s="19" t="e">
        <f t="shared" si="99"/>
        <v>#DIV/0!</v>
      </c>
      <c r="AH107" s="19" t="e">
        <f t="shared" si="84"/>
        <v>#DIV/0!</v>
      </c>
      <c r="AI107" s="19"/>
    </row>
    <row r="108" spans="1:35" ht="34.5" customHeight="1" x14ac:dyDescent="0.25">
      <c r="A108" s="11"/>
      <c r="B108" s="32" t="s">
        <v>193</v>
      </c>
      <c r="C108" s="19"/>
      <c r="D108" s="19"/>
      <c r="E108" s="19"/>
      <c r="F108" s="19"/>
      <c r="G108" s="19"/>
      <c r="H108" s="19"/>
      <c r="I108" s="19">
        <v>300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>
        <v>300</v>
      </c>
      <c r="W108" s="19">
        <v>300</v>
      </c>
      <c r="X108" s="19">
        <v>300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33.75" customHeight="1" x14ac:dyDescent="0.25">
      <c r="A109" s="11"/>
      <c r="B109" s="32" t="s">
        <v>194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>
        <v>2950</v>
      </c>
      <c r="O109" s="19">
        <v>2950</v>
      </c>
      <c r="P109" s="19">
        <v>2950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>
        <v>1006</v>
      </c>
      <c r="AB109" s="19">
        <f t="shared" si="95"/>
        <v>1006</v>
      </c>
      <c r="AC109" s="19">
        <v>100</v>
      </c>
      <c r="AD109" s="19">
        <v>1006</v>
      </c>
      <c r="AE109" s="19">
        <f t="shared" si="97"/>
        <v>0</v>
      </c>
      <c r="AF109" s="19">
        <v>100</v>
      </c>
      <c r="AG109" s="19">
        <f t="shared" si="99"/>
        <v>100</v>
      </c>
      <c r="AH109" s="19">
        <v>100</v>
      </c>
      <c r="AI109" s="19"/>
    </row>
    <row r="110" spans="1:35" ht="42" customHeight="1" x14ac:dyDescent="0.25">
      <c r="A110" s="11"/>
      <c r="B110" s="32" t="s">
        <v>195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>
        <v>368.3</v>
      </c>
      <c r="P110" s="19">
        <v>368.28</v>
      </c>
      <c r="Q110" s="19"/>
      <c r="R110" s="19">
        <v>850</v>
      </c>
      <c r="S110" s="19">
        <v>850</v>
      </c>
      <c r="T110" s="19">
        <v>850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52.5" customHeight="1" x14ac:dyDescent="0.25">
      <c r="A111" s="11"/>
      <c r="B111" s="32" t="s">
        <v>196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>
        <v>250</v>
      </c>
      <c r="AB111" s="19">
        <f t="shared" si="95"/>
        <v>250</v>
      </c>
      <c r="AC111" s="19">
        <v>100</v>
      </c>
      <c r="AD111" s="19">
        <v>250</v>
      </c>
      <c r="AE111" s="19">
        <f t="shared" si="97"/>
        <v>0</v>
      </c>
      <c r="AF111" s="19">
        <v>100</v>
      </c>
      <c r="AG111" s="19">
        <f t="shared" si="99"/>
        <v>100</v>
      </c>
      <c r="AH111" s="19">
        <v>100</v>
      </c>
      <c r="AI111" s="19"/>
    </row>
    <row r="112" spans="1:35" ht="16.5" customHeight="1" x14ac:dyDescent="0.25">
      <c r="A112" s="11"/>
      <c r="B112" s="32" t="s">
        <v>197</v>
      </c>
      <c r="C112" s="19"/>
      <c r="D112" s="19"/>
      <c r="E112" s="19"/>
      <c r="F112" s="19"/>
      <c r="G112" s="19"/>
      <c r="H112" s="19"/>
      <c r="I112" s="19">
        <v>197</v>
      </c>
      <c r="J112" s="19"/>
      <c r="K112" s="19"/>
      <c r="L112" s="19"/>
      <c r="M112" s="19"/>
      <c r="N112" s="19"/>
      <c r="O112" s="19"/>
      <c r="P112" s="19"/>
      <c r="Q112" s="19"/>
      <c r="R112" s="19">
        <v>192</v>
      </c>
      <c r="S112" s="19">
        <v>192</v>
      </c>
      <c r="T112" s="19">
        <v>192</v>
      </c>
      <c r="U112" s="19"/>
      <c r="V112" s="19">
        <v>197</v>
      </c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7" ht="16.5" customHeight="1" x14ac:dyDescent="0.25">
      <c r="A113" s="11"/>
      <c r="B113" s="32" t="s">
        <v>198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>
        <v>80.56</v>
      </c>
      <c r="X113" s="19">
        <v>64.678070000000005</v>
      </c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7" ht="45" hidden="1" customHeight="1" x14ac:dyDescent="0.25">
      <c r="A114" s="11" t="s">
        <v>199</v>
      </c>
      <c r="B114" s="32" t="s">
        <v>200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>
        <f>57498.74175-1571.634</f>
        <v>55927.107750000003</v>
      </c>
      <c r="N114" s="19"/>
      <c r="O114" s="19"/>
      <c r="P114" s="19"/>
      <c r="Q114" s="19">
        <f>59129.456-176.80992+715.22748-99.56</f>
        <v>59568.313560000002</v>
      </c>
      <c r="R114" s="19"/>
      <c r="S114" s="19"/>
      <c r="T114" s="19"/>
      <c r="U114" s="19">
        <v>12569.69613</v>
      </c>
      <c r="V114" s="19"/>
      <c r="W114" s="19"/>
      <c r="X114" s="19"/>
      <c r="Y114" s="19">
        <f>412.70651+54.18935-412.70651-54.18935</f>
        <v>0</v>
      </c>
      <c r="Z114" s="19"/>
      <c r="AA114" s="19"/>
      <c r="AB114" s="19"/>
      <c r="AC114" s="19"/>
      <c r="AD114" s="19"/>
      <c r="AE114" s="19"/>
      <c r="AF114" s="19"/>
      <c r="AG114" s="19"/>
      <c r="AH114" s="19" t="e">
        <f t="shared" si="84"/>
        <v>#DIV/0!</v>
      </c>
      <c r="AI114" s="19">
        <f>24218.0052+651.144+1.9-2251.43644-146.94729</f>
        <v>22472.66547</v>
      </c>
      <c r="AK114" s="31"/>
    </row>
    <row r="115" spans="1:37" ht="45" hidden="1" customHeight="1" x14ac:dyDescent="0.25">
      <c r="A115" s="11" t="s">
        <v>201</v>
      </c>
      <c r="B115" s="32" t="s">
        <v>202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>
        <v>707.51616999999999</v>
      </c>
      <c r="N115" s="19"/>
      <c r="O115" s="19"/>
      <c r="P115" s="19"/>
      <c r="Q115" s="19">
        <v>145.08600000000001</v>
      </c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 t="e">
        <f t="shared" si="84"/>
        <v>#DIV/0!</v>
      </c>
      <c r="AI115" s="19">
        <v>0</v>
      </c>
    </row>
    <row r="116" spans="1:37" ht="45" hidden="1" customHeight="1" x14ac:dyDescent="0.25">
      <c r="A116" s="11"/>
      <c r="B116" s="32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 t="e">
        <f t="shared" si="84"/>
        <v>#DIV/0!</v>
      </c>
      <c r="AI116" s="19"/>
    </row>
    <row r="117" spans="1:37" ht="24" customHeight="1" x14ac:dyDescent="0.25">
      <c r="A117" s="12" t="s">
        <v>203</v>
      </c>
      <c r="B117" s="13" t="s">
        <v>204</v>
      </c>
      <c r="C117" s="14">
        <f t="shared" ref="C117:W117" si="100">C118</f>
        <v>0</v>
      </c>
      <c r="D117" s="14">
        <f t="shared" si="100"/>
        <v>0</v>
      </c>
      <c r="E117" s="14">
        <f t="shared" si="100"/>
        <v>0</v>
      </c>
      <c r="F117" s="14">
        <f t="shared" si="100"/>
        <v>0</v>
      </c>
      <c r="G117" s="14">
        <f t="shared" si="100"/>
        <v>0</v>
      </c>
      <c r="H117" s="14">
        <f t="shared" si="100"/>
        <v>0</v>
      </c>
      <c r="I117" s="14">
        <f t="shared" si="100"/>
        <v>0</v>
      </c>
      <c r="J117" s="14">
        <f t="shared" si="100"/>
        <v>0</v>
      </c>
      <c r="K117" s="14">
        <f t="shared" si="100"/>
        <v>0</v>
      </c>
      <c r="L117" s="14">
        <f>L118</f>
        <v>0</v>
      </c>
      <c r="M117" s="14">
        <f>M118</f>
        <v>7749.0857999999998</v>
      </c>
      <c r="N117" s="14">
        <f t="shared" si="100"/>
        <v>0</v>
      </c>
      <c r="O117" s="14">
        <f t="shared" si="100"/>
        <v>600</v>
      </c>
      <c r="P117" s="14">
        <f>P118</f>
        <v>600</v>
      </c>
      <c r="Q117" s="14">
        <f>Q118</f>
        <v>600</v>
      </c>
      <c r="R117" s="14">
        <f t="shared" si="100"/>
        <v>0</v>
      </c>
      <c r="S117" s="14">
        <f t="shared" si="100"/>
        <v>260</v>
      </c>
      <c r="T117" s="14">
        <f>T118</f>
        <v>260</v>
      </c>
      <c r="U117" s="14">
        <f>U118</f>
        <v>6322.86528</v>
      </c>
      <c r="V117" s="14">
        <f t="shared" si="100"/>
        <v>0</v>
      </c>
      <c r="W117" s="14">
        <f t="shared" si="100"/>
        <v>0</v>
      </c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>
        <f>AI118</f>
        <v>7525.9002399999999</v>
      </c>
    </row>
    <row r="118" spans="1:37" ht="29.25" hidden="1" customHeight="1" x14ac:dyDescent="0.25">
      <c r="A118" s="11" t="s">
        <v>205</v>
      </c>
      <c r="B118" s="32" t="s">
        <v>206</v>
      </c>
      <c r="C118" s="19">
        <f>648-648</f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7749.0857999999998</v>
      </c>
      <c r="N118" s="19">
        <v>0</v>
      </c>
      <c r="O118" s="19">
        <v>600</v>
      </c>
      <c r="P118" s="19">
        <v>600</v>
      </c>
      <c r="Q118" s="19">
        <v>600</v>
      </c>
      <c r="R118" s="19">
        <v>0</v>
      </c>
      <c r="S118" s="19">
        <v>260</v>
      </c>
      <c r="T118" s="19">
        <v>260</v>
      </c>
      <c r="U118" s="19">
        <v>6322.86528</v>
      </c>
      <c r="V118" s="19">
        <v>0</v>
      </c>
      <c r="W118" s="19">
        <v>0</v>
      </c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>
        <v>7525.9002399999999</v>
      </c>
      <c r="AJ118" s="31"/>
      <c r="AK118" s="36"/>
    </row>
    <row r="119" spans="1:37" ht="29.25" hidden="1" customHeight="1" x14ac:dyDescent="0.25">
      <c r="A119" s="11" t="s">
        <v>207</v>
      </c>
      <c r="B119" s="32" t="s">
        <v>208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f>AD119-AA119</f>
        <v>0</v>
      </c>
      <c r="AF119" s="19">
        <v>100</v>
      </c>
      <c r="AG119" s="19">
        <v>100</v>
      </c>
      <c r="AH119" s="19" t="e">
        <f t="shared" si="84"/>
        <v>#DIV/0!</v>
      </c>
      <c r="AI119" s="19">
        <v>0</v>
      </c>
    </row>
    <row r="120" spans="1:37" ht="29.25" customHeight="1" x14ac:dyDescent="0.25">
      <c r="A120" s="53" t="s">
        <v>209</v>
      </c>
      <c r="B120" s="53"/>
      <c r="C120" s="14">
        <f t="shared" ref="C120:AA120" si="101">+C60+C6</f>
        <v>36270.588000000003</v>
      </c>
      <c r="D120" s="14">
        <f t="shared" si="101"/>
        <v>24179.5</v>
      </c>
      <c r="E120" s="14">
        <f t="shared" si="101"/>
        <v>41141.770000000004</v>
      </c>
      <c r="F120" s="14">
        <f t="shared" si="101"/>
        <v>41170.002170000007</v>
      </c>
      <c r="G120" s="14">
        <f t="shared" si="101"/>
        <v>33709.200000000004</v>
      </c>
      <c r="H120" s="14">
        <f t="shared" si="101"/>
        <v>40119.399999999994</v>
      </c>
      <c r="I120" s="14">
        <f t="shared" si="101"/>
        <v>40132.522230000002</v>
      </c>
      <c r="J120" s="14">
        <f t="shared" si="101"/>
        <v>30237.7</v>
      </c>
      <c r="K120" s="14">
        <f t="shared" si="101"/>
        <v>36771.200000000004</v>
      </c>
      <c r="L120" s="14">
        <f t="shared" si="101"/>
        <v>36755.728179999998</v>
      </c>
      <c r="M120" s="14">
        <f t="shared" si="101"/>
        <v>101139.43789000002</v>
      </c>
      <c r="N120" s="14">
        <f t="shared" si="101"/>
        <v>26536.399999999998</v>
      </c>
      <c r="O120" s="14">
        <f t="shared" si="101"/>
        <v>35475.800000000003</v>
      </c>
      <c r="P120" s="14">
        <f t="shared" si="101"/>
        <v>35469.130790000003</v>
      </c>
      <c r="Q120" s="14">
        <f t="shared" si="101"/>
        <v>68317.075690000012</v>
      </c>
      <c r="R120" s="14">
        <f t="shared" si="101"/>
        <v>27315.300000000003</v>
      </c>
      <c r="S120" s="14">
        <f t="shared" si="101"/>
        <v>34738.03</v>
      </c>
      <c r="T120" s="14">
        <f>+T60+T6</f>
        <v>34969.169779999997</v>
      </c>
      <c r="U120" s="14">
        <f>+U60+U6</f>
        <v>44745.710610000002</v>
      </c>
      <c r="V120" s="14">
        <f t="shared" ref="V120:W120" si="102">+V60+V6</f>
        <v>28558.400000000001</v>
      </c>
      <c r="W120" s="14">
        <f t="shared" si="102"/>
        <v>44294.31</v>
      </c>
      <c r="X120" s="14">
        <f>+X60+X6</f>
        <v>44450.353589999999</v>
      </c>
      <c r="Y120" s="14">
        <f>+Y60+Y6</f>
        <v>42128.208530000004</v>
      </c>
      <c r="Z120" s="14">
        <f t="shared" si="101"/>
        <v>30710.6</v>
      </c>
      <c r="AA120" s="14">
        <f t="shared" si="101"/>
        <v>42089.88</v>
      </c>
      <c r="AB120" s="14">
        <f t="shared" ref="AB120" si="103">AA120-Z120</f>
        <v>11379.279999999999</v>
      </c>
      <c r="AC120" s="14">
        <f>AA120/Z120*100</f>
        <v>137.05326499645074</v>
      </c>
      <c r="AD120" s="14">
        <f>+AD60+AD6</f>
        <v>42475.508279999995</v>
      </c>
      <c r="AE120" s="14">
        <f>AD120-AA120</f>
        <v>385.62827999999718</v>
      </c>
      <c r="AF120" s="14">
        <f>AD120/Z120*100</f>
        <v>138.30894961348849</v>
      </c>
      <c r="AG120" s="14">
        <f>AD120/AA120*100</f>
        <v>100.91620189936393</v>
      </c>
      <c r="AH120" s="14">
        <f t="shared" si="84"/>
        <v>95.557188749912925</v>
      </c>
      <c r="AI120" s="14">
        <f>+AI60+AI6</f>
        <v>72470.008439999991</v>
      </c>
      <c r="AJ120" s="31"/>
    </row>
    <row r="121" spans="1:37" ht="14.25" hidden="1" customHeight="1" x14ac:dyDescent="0.25">
      <c r="A121" s="48" t="s">
        <v>210</v>
      </c>
      <c r="B121" s="49"/>
      <c r="C121" s="14">
        <f t="shared" ref="C121:AA121" si="104">C120-C79</f>
        <v>36006.188000000002</v>
      </c>
      <c r="D121" s="14">
        <f t="shared" si="104"/>
        <v>23937.599999999999</v>
      </c>
      <c r="E121" s="14">
        <f t="shared" si="104"/>
        <v>40899.870000000003</v>
      </c>
      <c r="F121" s="14">
        <f t="shared" si="104"/>
        <v>40928.102170000006</v>
      </c>
      <c r="G121" s="14">
        <f t="shared" si="104"/>
        <v>33535.200000000004</v>
      </c>
      <c r="H121" s="14">
        <f t="shared" si="104"/>
        <v>39945.399999999994</v>
      </c>
      <c r="I121" s="14">
        <f t="shared" si="104"/>
        <v>39958.522230000002</v>
      </c>
      <c r="J121" s="14">
        <f t="shared" si="104"/>
        <v>30034.7</v>
      </c>
      <c r="K121" s="14">
        <f t="shared" si="104"/>
        <v>36473.200000000004</v>
      </c>
      <c r="L121" s="14">
        <f t="shared" si="104"/>
        <v>36457.728179999998</v>
      </c>
      <c r="M121" s="14">
        <f t="shared" si="104"/>
        <v>100841.43789000002</v>
      </c>
      <c r="N121" s="14">
        <f t="shared" si="104"/>
        <v>26337.399999999998</v>
      </c>
      <c r="O121" s="14">
        <f t="shared" si="104"/>
        <v>35293.600000000006</v>
      </c>
      <c r="P121" s="14">
        <f t="shared" si="104"/>
        <v>35286.930790000006</v>
      </c>
      <c r="Q121" s="14">
        <f t="shared" si="104"/>
        <v>68134.875690000015</v>
      </c>
      <c r="R121" s="14">
        <f t="shared" si="104"/>
        <v>27105.300000000003</v>
      </c>
      <c r="S121" s="14">
        <f t="shared" si="104"/>
        <v>34528.03</v>
      </c>
      <c r="T121" s="14">
        <f>T120-T79</f>
        <v>34759.169779999997</v>
      </c>
      <c r="U121" s="14">
        <f>U120-U79</f>
        <v>44535.710610000002</v>
      </c>
      <c r="V121" s="14">
        <f t="shared" ref="V121:W121" si="105">V120-V79</f>
        <v>28337.200000000001</v>
      </c>
      <c r="W121" s="14">
        <f t="shared" si="105"/>
        <v>44162.31</v>
      </c>
      <c r="X121" s="14">
        <f>X120-X79</f>
        <v>44318.353589999999</v>
      </c>
      <c r="Y121" s="14">
        <f>Y120-Y79</f>
        <v>41996.208530000004</v>
      </c>
      <c r="Z121" s="14">
        <f t="shared" si="104"/>
        <v>30473.5</v>
      </c>
      <c r="AA121" s="14">
        <f t="shared" si="104"/>
        <v>41850.74</v>
      </c>
      <c r="AB121" s="14"/>
      <c r="AC121" s="14"/>
      <c r="AD121" s="14">
        <f>AD120-AD79</f>
        <v>42236.368279999995</v>
      </c>
      <c r="AE121" s="14"/>
      <c r="AF121" s="14"/>
      <c r="AG121" s="14"/>
      <c r="AH121" s="14">
        <f t="shared" si="84"/>
        <v>95.302205200894946</v>
      </c>
      <c r="AI121" s="14">
        <f>AI120-AI79</f>
        <v>72230.868439999991</v>
      </c>
    </row>
    <row r="122" spans="1:37" ht="15" hidden="1" customHeight="1" x14ac:dyDescent="0.25">
      <c r="A122" s="48" t="s">
        <v>211</v>
      </c>
      <c r="B122" s="49"/>
      <c r="C122" s="14">
        <f>C121/C120*100</f>
        <v>99.27103470172581</v>
      </c>
      <c r="D122" s="14">
        <f t="shared" ref="D122:E122" si="106">D121/D120*100</f>
        <v>98.999565747844244</v>
      </c>
      <c r="E122" s="14">
        <f t="shared" si="106"/>
        <v>99.412033074901728</v>
      </c>
      <c r="F122" s="14">
        <f>F121/F120*100</f>
        <v>99.412436270950039</v>
      </c>
      <c r="G122" s="14">
        <f t="shared" ref="G122:AA122" si="107">G121/G120*100</f>
        <v>99.483820440710545</v>
      </c>
      <c r="H122" s="14">
        <f t="shared" si="107"/>
        <v>99.566294610587391</v>
      </c>
      <c r="I122" s="14">
        <f t="shared" si="107"/>
        <v>99.56643642031068</v>
      </c>
      <c r="J122" s="14">
        <f t="shared" si="107"/>
        <v>99.32865264223139</v>
      </c>
      <c r="K122" s="14">
        <f t="shared" si="107"/>
        <v>99.189583152032029</v>
      </c>
      <c r="L122" s="14">
        <f t="shared" si="107"/>
        <v>99.189242018167519</v>
      </c>
      <c r="M122" s="14">
        <f t="shared" si="107"/>
        <v>99.705357270895547</v>
      </c>
      <c r="N122" s="14">
        <f t="shared" si="107"/>
        <v>99.250086673399551</v>
      </c>
      <c r="O122" s="14">
        <f t="shared" si="107"/>
        <v>99.486410454450649</v>
      </c>
      <c r="P122" s="14">
        <f t="shared" si="107"/>
        <v>99.486313884941993</v>
      </c>
      <c r="Q122" s="14">
        <f t="shared" si="107"/>
        <v>99.733302401837634</v>
      </c>
      <c r="R122" s="14">
        <f t="shared" si="107"/>
        <v>99.231200096649133</v>
      </c>
      <c r="S122" s="14">
        <f t="shared" si="107"/>
        <v>99.395475218370194</v>
      </c>
      <c r="T122" s="14">
        <f t="shared" si="107"/>
        <v>99.399471015980183</v>
      </c>
      <c r="U122" s="14">
        <f t="shared" si="107"/>
        <v>99.530681271708161</v>
      </c>
      <c r="V122" s="14">
        <f t="shared" si="107"/>
        <v>99.2254468037425</v>
      </c>
      <c r="W122" s="14">
        <f t="shared" si="107"/>
        <v>99.701993326005081</v>
      </c>
      <c r="X122" s="14">
        <f t="shared" si="107"/>
        <v>99.703039482615736</v>
      </c>
      <c r="Y122" s="14">
        <f t="shared" si="107"/>
        <v>99.686670749585744</v>
      </c>
      <c r="Z122" s="14">
        <f t="shared" si="107"/>
        <v>99.227953866091838</v>
      </c>
      <c r="AA122" s="14">
        <f t="shared" si="107"/>
        <v>99.431834920888349</v>
      </c>
      <c r="AB122" s="14"/>
      <c r="AC122" s="14"/>
      <c r="AD122" s="14">
        <f t="shared" ref="AD122" si="108">AD121/AD120*100</f>
        <v>99.436993199884554</v>
      </c>
      <c r="AE122" s="14"/>
      <c r="AF122" s="14"/>
      <c r="AG122" s="14"/>
      <c r="AH122" s="14">
        <f t="shared" si="84"/>
        <v>99.733161311719527</v>
      </c>
      <c r="AI122" s="14">
        <f t="shared" ref="AI122" si="109">AI121/AI120*100</f>
        <v>99.670015217125325</v>
      </c>
    </row>
    <row r="123" spans="1:37" ht="15" hidden="1" customHeight="1" x14ac:dyDescent="0.25">
      <c r="A123" s="48" t="s">
        <v>212</v>
      </c>
      <c r="B123" s="49"/>
      <c r="C123" s="14">
        <f t="shared" ref="C123:AA123" si="110">C62-C79</f>
        <v>33619.347999999998</v>
      </c>
      <c r="D123" s="14">
        <f t="shared" si="110"/>
        <v>22770.6</v>
      </c>
      <c r="E123" s="14">
        <f t="shared" si="110"/>
        <v>39318.97</v>
      </c>
      <c r="F123" s="14">
        <f t="shared" si="110"/>
        <v>39318.970750000008</v>
      </c>
      <c r="G123" s="14">
        <f t="shared" si="110"/>
        <v>32418.400000000001</v>
      </c>
      <c r="H123" s="14">
        <f t="shared" si="110"/>
        <v>38260.499999999993</v>
      </c>
      <c r="I123" s="14">
        <f t="shared" si="110"/>
        <v>38260.524940000003</v>
      </c>
      <c r="J123" s="14">
        <f t="shared" si="110"/>
        <v>28615.8</v>
      </c>
      <c r="K123" s="14">
        <f t="shared" si="110"/>
        <v>33896.400000000001</v>
      </c>
      <c r="L123" s="14">
        <f t="shared" si="110"/>
        <v>33896.461569999999</v>
      </c>
      <c r="M123" s="14">
        <f t="shared" si="110"/>
        <v>90531.085480000009</v>
      </c>
      <c r="N123" s="14">
        <f t="shared" si="110"/>
        <v>24535.8</v>
      </c>
      <c r="O123" s="14">
        <f t="shared" si="110"/>
        <v>31718.100000000002</v>
      </c>
      <c r="P123" s="14">
        <f t="shared" si="110"/>
        <v>31694.180940000002</v>
      </c>
      <c r="Q123" s="14">
        <f t="shared" si="110"/>
        <v>91407.580500000011</v>
      </c>
      <c r="R123" s="14">
        <f t="shared" si="110"/>
        <v>25478.600000000002</v>
      </c>
      <c r="S123" s="14">
        <f t="shared" si="110"/>
        <v>31260.93</v>
      </c>
      <c r="T123" s="14">
        <f>T62-T79</f>
        <v>31271.53801</v>
      </c>
      <c r="U123" s="14">
        <f>U62-U79</f>
        <v>43841.23414</v>
      </c>
      <c r="V123" s="14">
        <f t="shared" ref="V123:W123" si="111">V62-V79</f>
        <v>23450.2</v>
      </c>
      <c r="W123" s="14">
        <f t="shared" si="111"/>
        <v>38415.699999999997</v>
      </c>
      <c r="X123" s="14">
        <f>X62-X79</f>
        <v>38399.700440000001</v>
      </c>
      <c r="Y123" s="14">
        <f>Y62-Y79</f>
        <v>38399.700440000001</v>
      </c>
      <c r="Z123" s="14">
        <f t="shared" si="110"/>
        <v>26432.5</v>
      </c>
      <c r="AA123" s="14">
        <f t="shared" si="110"/>
        <v>36874.1</v>
      </c>
      <c r="AB123" s="14"/>
      <c r="AC123" s="14"/>
      <c r="AD123" s="14">
        <f>AD62-AD79</f>
        <v>36874.102899999998</v>
      </c>
      <c r="AE123" s="14"/>
      <c r="AF123" s="14"/>
      <c r="AG123" s="14"/>
      <c r="AH123" s="14">
        <f t="shared" si="84"/>
        <v>96.027058746503073</v>
      </c>
      <c r="AI123" s="14">
        <f>AI62-AI79</f>
        <v>59346.768369999998</v>
      </c>
    </row>
    <row r="124" spans="1:37" ht="26.25" hidden="1" customHeight="1" x14ac:dyDescent="0.25">
      <c r="A124" s="50" t="s">
        <v>213</v>
      </c>
      <c r="B124" s="50"/>
      <c r="C124" s="14">
        <f t="shared" ref="C124:P124" si="112">C64/C121*100</f>
        <v>72.904690715940262</v>
      </c>
      <c r="D124" s="14">
        <f t="shared" si="112"/>
        <v>95.124824543813915</v>
      </c>
      <c r="E124" s="14">
        <f t="shared" si="112"/>
        <v>75.757209008243791</v>
      </c>
      <c r="F124" s="14">
        <f t="shared" si="112"/>
        <v>75.704959079953355</v>
      </c>
      <c r="G124" s="14">
        <f t="shared" si="112"/>
        <v>87.026467711538913</v>
      </c>
      <c r="H124" s="14">
        <f t="shared" si="112"/>
        <v>80.359941319901679</v>
      </c>
      <c r="I124" s="14">
        <f t="shared" si="112"/>
        <v>80.333739108849926</v>
      </c>
      <c r="J124" s="14">
        <f t="shared" si="112"/>
        <v>91.238134557694934</v>
      </c>
      <c r="K124" s="14">
        <f t="shared" si="112"/>
        <v>79.158944101422406</v>
      </c>
      <c r="L124" s="14">
        <f t="shared" si="112"/>
        <v>79.192498933157609</v>
      </c>
      <c r="M124" s="14">
        <f t="shared" si="112"/>
        <v>28.630874969765856</v>
      </c>
      <c r="N124" s="14">
        <f t="shared" si="112"/>
        <v>79.169545968850386</v>
      </c>
      <c r="O124" s="14">
        <f t="shared" si="112"/>
        <v>63.265861232631416</v>
      </c>
      <c r="P124" s="14">
        <f t="shared" si="112"/>
        <v>63.277875122898998</v>
      </c>
      <c r="Q124" s="14"/>
      <c r="R124" s="14">
        <f>R64/R121*100</f>
        <v>74.798286681940439</v>
      </c>
      <c r="S124" s="14">
        <f>S64/S121*100</f>
        <v>67.497653355838722</v>
      </c>
      <c r="T124" s="14">
        <f>T64/T121*100</f>
        <v>67.048810853387437</v>
      </c>
      <c r="U124" s="14"/>
      <c r="V124" s="14">
        <f>V64/V121*100</f>
        <v>77.156176333582721</v>
      </c>
      <c r="W124" s="14">
        <f>W64/W121*100</f>
        <v>59.9893891420082</v>
      </c>
      <c r="X124" s="14">
        <f>X64/X121*100</f>
        <v>59.778181845586019</v>
      </c>
      <c r="Y124" s="14"/>
      <c r="Z124" s="14">
        <f>Z64/Z121*100</f>
        <v>84.157382643936543</v>
      </c>
      <c r="AA124" s="14">
        <f>AA64/AA121*100</f>
        <v>73.292634729995214</v>
      </c>
      <c r="AB124" s="14"/>
      <c r="AC124" s="14"/>
      <c r="AD124" s="14">
        <f>AD64/AD121*100</f>
        <v>72.623464680140827</v>
      </c>
      <c r="AE124" s="14"/>
      <c r="AF124" s="14"/>
      <c r="AG124" s="14"/>
      <c r="AH124" s="14">
        <f t="shared" si="84"/>
        <v>121.4882461091501</v>
      </c>
      <c r="AI124" s="14"/>
    </row>
    <row r="125" spans="1:37" hidden="1" x14ac:dyDescent="0.25">
      <c r="A125" s="37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>
        <f>W126-W120</f>
        <v>2.590000003692694E-3</v>
      </c>
      <c r="X125" s="38"/>
      <c r="Y125" s="39">
        <f>Y126-Y120</f>
        <v>3675.8964599999963</v>
      </c>
      <c r="Z125" s="38"/>
      <c r="AA125" s="38">
        <f>AA126-AA120</f>
        <v>0</v>
      </c>
      <c r="AB125" s="38"/>
      <c r="AC125" s="38"/>
      <c r="AD125" s="38">
        <f t="shared" ref="AD125:AE125" si="113">AD126-AD120</f>
        <v>3.0000000697327778E-4</v>
      </c>
      <c r="AE125" s="38">
        <f t="shared" si="113"/>
        <v>3.0000000697327778E-4</v>
      </c>
      <c r="AF125" s="38"/>
      <c r="AG125" s="38"/>
      <c r="AH125" s="38" t="e">
        <f t="shared" si="84"/>
        <v>#DIV/0!</v>
      </c>
      <c r="AI125" s="39">
        <f>AI126-AI120</f>
        <v>3.0000001424923539E-4</v>
      </c>
    </row>
    <row r="126" spans="1:37" hidden="1" x14ac:dyDescent="0.25">
      <c r="A126" s="1" t="s">
        <v>214</v>
      </c>
      <c r="B126" s="1"/>
      <c r="C126" s="1">
        <v>36270.589999999997</v>
      </c>
      <c r="D126" s="40">
        <v>24179.5</v>
      </c>
      <c r="E126" s="40">
        <v>41141.769999999997</v>
      </c>
      <c r="F126" s="40">
        <v>41170.00217</v>
      </c>
      <c r="G126" s="40">
        <v>33709.199999999997</v>
      </c>
      <c r="H126" s="40">
        <v>40119.4</v>
      </c>
      <c r="I126" s="40">
        <v>40132.522230000002</v>
      </c>
      <c r="J126" s="40">
        <v>30237.7</v>
      </c>
      <c r="K126" s="40">
        <v>36771.166599999997</v>
      </c>
      <c r="L126" s="40">
        <v>36755.730000000003</v>
      </c>
      <c r="M126" s="40">
        <v>101139.4399</v>
      </c>
      <c r="N126" s="40">
        <v>26536.400000000001</v>
      </c>
      <c r="O126" s="40">
        <v>35475.771739999996</v>
      </c>
      <c r="P126" s="40">
        <v>35469.130790000003</v>
      </c>
      <c r="Q126" s="40">
        <v>68317.075689999998</v>
      </c>
      <c r="R126" s="40">
        <v>27315.3</v>
      </c>
      <c r="S126" s="40">
        <v>34738.025099999999</v>
      </c>
      <c r="T126" s="40">
        <v>34969.169779999997</v>
      </c>
      <c r="U126" s="40">
        <v>44745.710610000002</v>
      </c>
      <c r="V126" s="40">
        <v>28719.4</v>
      </c>
      <c r="W126" s="40">
        <v>44294.312590000001</v>
      </c>
      <c r="X126" s="40">
        <v>44450.353589999999</v>
      </c>
      <c r="Y126" s="40">
        <v>45804.10499</v>
      </c>
      <c r="Z126" s="40">
        <v>30710.6</v>
      </c>
      <c r="AA126" s="40">
        <v>42089.88</v>
      </c>
      <c r="AB126" s="14">
        <f>AA126-Z126</f>
        <v>11379.279999999999</v>
      </c>
      <c r="AC126" s="14">
        <f>AA126/Z126*100</f>
        <v>137.05326499645074</v>
      </c>
      <c r="AD126" s="40">
        <v>42475.508580000002</v>
      </c>
      <c r="AE126" s="14">
        <f t="shared" ref="AE126:AE128" si="114">AD126-AA126</f>
        <v>385.62858000000415</v>
      </c>
      <c r="AF126" s="14">
        <f>AD126/Z126*100</f>
        <v>138.30895059034992</v>
      </c>
      <c r="AG126" s="14">
        <f>AD126/AA126*100</f>
        <v>100.91620261212435</v>
      </c>
      <c r="AH126" s="14">
        <f t="shared" si="84"/>
        <v>95.557189424823207</v>
      </c>
      <c r="AI126" s="40">
        <v>72470.008740000005</v>
      </c>
    </row>
    <row r="127" spans="1:37" hidden="1" x14ac:dyDescent="0.25">
      <c r="A127" s="1" t="s">
        <v>215</v>
      </c>
      <c r="B127" s="1"/>
      <c r="C127" s="1">
        <v>36058.14</v>
      </c>
      <c r="D127" s="40">
        <v>24179.5</v>
      </c>
      <c r="E127" s="40">
        <v>43039.87</v>
      </c>
      <c r="F127" s="40">
        <v>41391.32806</v>
      </c>
      <c r="G127" s="40">
        <v>33709.199999999997</v>
      </c>
      <c r="H127" s="40">
        <v>41796.1</v>
      </c>
      <c r="I127" s="40">
        <v>40636.696259999997</v>
      </c>
      <c r="J127" s="40">
        <v>30237.7</v>
      </c>
      <c r="K127" s="40">
        <v>37943.765700000004</v>
      </c>
      <c r="L127" s="40">
        <v>37547.58</v>
      </c>
      <c r="M127" s="40">
        <v>42077.713580000003</v>
      </c>
      <c r="N127" s="40">
        <v>26536.400000000001</v>
      </c>
      <c r="O127" s="40">
        <v>35856.522109999998</v>
      </c>
      <c r="P127" s="40">
        <v>35202.257420000002</v>
      </c>
      <c r="Q127" s="40">
        <v>41769.11649</v>
      </c>
      <c r="R127" s="40">
        <v>27315.3</v>
      </c>
      <c r="S127" s="40">
        <v>35385.648840000002</v>
      </c>
      <c r="T127" s="40">
        <v>34812.548179999998</v>
      </c>
      <c r="U127" s="40">
        <v>45553.898509999999</v>
      </c>
      <c r="V127" s="40">
        <v>28719.4</v>
      </c>
      <c r="W127" s="40">
        <v>45098.557930000003</v>
      </c>
      <c r="X127" s="40">
        <v>45015.930489999999</v>
      </c>
      <c r="Y127" s="40">
        <v>50981.269840000001</v>
      </c>
      <c r="Z127" s="40">
        <v>30710.6</v>
      </c>
      <c r="AA127" s="40">
        <v>42328.55</v>
      </c>
      <c r="AB127" s="14">
        <f>AA127-Z127</f>
        <v>11617.950000000004</v>
      </c>
      <c r="AC127" s="14">
        <f>AA127/Z127*100</f>
        <v>137.83042337173487</v>
      </c>
      <c r="AD127" s="40">
        <v>41827.007279999998</v>
      </c>
      <c r="AE127" s="14">
        <f t="shared" si="114"/>
        <v>-501.54272000000492</v>
      </c>
      <c r="AF127" s="14">
        <f>AD127/Z127*100</f>
        <v>136.19729761059699</v>
      </c>
      <c r="AG127" s="14">
        <f>AD127/AA127*100</f>
        <v>98.815119535160065</v>
      </c>
      <c r="AH127" s="14">
        <f t="shared" si="84"/>
        <v>92.916011786742018</v>
      </c>
      <c r="AI127" s="40">
        <v>50984.856330000002</v>
      </c>
    </row>
    <row r="128" spans="1:37" hidden="1" x14ac:dyDescent="0.25">
      <c r="A128" s="1" t="s">
        <v>216</v>
      </c>
      <c r="B128" s="1"/>
      <c r="C128" s="41">
        <f t="shared" ref="C128:Z128" si="115">C126-C127</f>
        <v>212.44999999999709</v>
      </c>
      <c r="D128" s="41">
        <f t="shared" si="115"/>
        <v>0</v>
      </c>
      <c r="E128" s="41">
        <f t="shared" si="115"/>
        <v>-1898.1000000000058</v>
      </c>
      <c r="F128" s="41">
        <f t="shared" si="115"/>
        <v>-221.32589000000007</v>
      </c>
      <c r="G128" s="41">
        <f t="shared" si="115"/>
        <v>0</v>
      </c>
      <c r="H128" s="41">
        <f t="shared" si="115"/>
        <v>-1676.6999999999971</v>
      </c>
      <c r="I128" s="41">
        <f t="shared" si="115"/>
        <v>-504.17402999999467</v>
      </c>
      <c r="J128" s="41">
        <f t="shared" si="115"/>
        <v>0</v>
      </c>
      <c r="K128" s="41">
        <f>K126-K127</f>
        <v>-1172.5991000000067</v>
      </c>
      <c r="L128" s="41">
        <f>L126-L127</f>
        <v>-791.84999999999854</v>
      </c>
      <c r="M128" s="41">
        <f>M126-M127</f>
        <v>59061.726319999994</v>
      </c>
      <c r="N128" s="41">
        <f t="shared" ref="N128" si="116">N126-N127</f>
        <v>0</v>
      </c>
      <c r="O128" s="41">
        <f>O126-O127</f>
        <v>-380.75037000000157</v>
      </c>
      <c r="P128" s="41">
        <f>P126-P127</f>
        <v>266.87337000000116</v>
      </c>
      <c r="Q128" s="41">
        <f>Q126-Q127</f>
        <v>26547.959199999998</v>
      </c>
      <c r="R128" s="41">
        <f t="shared" ref="R128" si="117">R126-R127</f>
        <v>0</v>
      </c>
      <c r="S128" s="41">
        <f>S126-S127</f>
        <v>-647.62374000000273</v>
      </c>
      <c r="T128" s="41">
        <f>T126-T127</f>
        <v>156.62159999999858</v>
      </c>
      <c r="U128" s="41">
        <f>U126-U127</f>
        <v>-808.18789999999717</v>
      </c>
      <c r="V128" s="41">
        <f t="shared" ref="V128" si="118">V126-V127</f>
        <v>0</v>
      </c>
      <c r="W128" s="41">
        <f>W126-W127</f>
        <v>-804.24534000000131</v>
      </c>
      <c r="X128" s="41">
        <f>X126-X127</f>
        <v>-565.57690000000002</v>
      </c>
      <c r="Y128" s="41">
        <f>Y126-Y127</f>
        <v>-5177.164850000001</v>
      </c>
      <c r="Z128" s="41">
        <f t="shared" si="115"/>
        <v>0</v>
      </c>
      <c r="AA128" s="41">
        <f>AA126-AA127</f>
        <v>-238.67000000000553</v>
      </c>
      <c r="AB128" s="14">
        <f>AA128-Z128</f>
        <v>-238.67000000000553</v>
      </c>
      <c r="AC128" s="14" t="e">
        <f>AA128/Z128*100</f>
        <v>#DIV/0!</v>
      </c>
      <c r="AD128" s="41">
        <f>AD126-AD127</f>
        <v>648.50130000000354</v>
      </c>
      <c r="AE128" s="14">
        <f t="shared" si="114"/>
        <v>887.17130000000907</v>
      </c>
      <c r="AF128" s="14">
        <v>100</v>
      </c>
      <c r="AG128" s="14">
        <f>AD128/AA128*100</f>
        <v>-271.71462689068107</v>
      </c>
      <c r="AH128" s="14">
        <f t="shared" si="84"/>
        <v>-114.66191423306071</v>
      </c>
      <c r="AI128" s="41">
        <f>AI126-AI127</f>
        <v>21485.152410000002</v>
      </c>
    </row>
    <row r="129" spans="1:35" hidden="1" x14ac:dyDescent="0.25">
      <c r="A129" s="1" t="s">
        <v>217</v>
      </c>
      <c r="B129" s="1"/>
      <c r="C129" s="41">
        <f t="shared" ref="C129:L129" si="119">-C128/C6*100</f>
        <v>-8.9008898795058364</v>
      </c>
      <c r="D129" s="41">
        <f t="shared" si="119"/>
        <v>0</v>
      </c>
      <c r="E129" s="41">
        <f t="shared" si="119"/>
        <v>120.06452021000733</v>
      </c>
      <c r="F129" s="41">
        <f t="shared" si="119"/>
        <v>13.754370043933395</v>
      </c>
      <c r="G129" s="41">
        <f t="shared" si="119"/>
        <v>0</v>
      </c>
      <c r="H129" s="41">
        <f t="shared" si="119"/>
        <v>99.513324232892003</v>
      </c>
      <c r="I129" s="41">
        <f t="shared" si="119"/>
        <v>29.692275303925523</v>
      </c>
      <c r="J129" s="41">
        <f t="shared" si="119"/>
        <v>0</v>
      </c>
      <c r="K129" s="41">
        <f t="shared" si="119"/>
        <v>45.50601909344951</v>
      </c>
      <c r="L129" s="41">
        <f t="shared" si="119"/>
        <v>30.916344159891988</v>
      </c>
      <c r="M129" s="41"/>
      <c r="N129" s="41">
        <f>-N128/N6*100</f>
        <v>0</v>
      </c>
      <c r="O129" s="41">
        <f>-O128/O6*100</f>
        <v>12.796181146025932</v>
      </c>
      <c r="P129" s="41">
        <f>-P128/P6*100</f>
        <v>-8.9173296592096118</v>
      </c>
      <c r="Q129" s="41"/>
      <c r="R129" s="41">
        <f>-R128/R6*100</f>
        <v>0</v>
      </c>
      <c r="S129" s="41">
        <f>-S128/S6*100</f>
        <v>21.536488310997399</v>
      </c>
      <c r="T129" s="41">
        <f>-T128/T6*100</f>
        <v>-4.8525238057127744</v>
      </c>
      <c r="U129" s="41"/>
      <c r="V129" s="41">
        <f>-V128/V6*100</f>
        <v>0</v>
      </c>
      <c r="W129" s="41">
        <f>-W128/W6*100</f>
        <v>13.995126518068934</v>
      </c>
      <c r="X129" s="41">
        <f>-X128/X6*100</f>
        <v>9.5558378851783203</v>
      </c>
      <c r="Y129" s="41"/>
      <c r="Z129" s="41">
        <f>-Z128/Z6*100</f>
        <v>0</v>
      </c>
      <c r="AA129" s="41">
        <f>-AA128/AA6*100</f>
        <v>4.7958060056585472</v>
      </c>
      <c r="AB129" s="41"/>
      <c r="AC129" s="41"/>
      <c r="AD129" s="41">
        <f>-AD128/AD6*100</f>
        <v>-12.093793463090471</v>
      </c>
      <c r="AE129" s="42"/>
      <c r="AF129" s="42"/>
      <c r="AG129" s="42"/>
      <c r="AH129" s="42"/>
      <c r="AI129" s="41"/>
    </row>
    <row r="130" spans="1:35" hidden="1" x14ac:dyDescent="0.25">
      <c r="A130" s="1"/>
      <c r="B130" s="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2"/>
      <c r="AF130" s="42"/>
      <c r="AG130" s="42"/>
      <c r="AH130" s="42"/>
      <c r="AI130" s="41"/>
    </row>
    <row r="131" spans="1:35" ht="30" hidden="1" customHeight="1" x14ac:dyDescent="0.25">
      <c r="A131" s="1" t="s">
        <v>218</v>
      </c>
      <c r="C131" s="1"/>
      <c r="D131" s="1"/>
      <c r="E131" s="1"/>
      <c r="F131" s="43">
        <v>1898.09898</v>
      </c>
      <c r="G131" s="44"/>
      <c r="H131" s="44"/>
      <c r="I131" s="44"/>
      <c r="J131" s="40"/>
      <c r="K131" s="44"/>
      <c r="L131" s="44"/>
      <c r="M131" s="44"/>
      <c r="N131" s="40"/>
      <c r="O131" s="44"/>
      <c r="P131" s="44"/>
      <c r="Q131" s="44"/>
      <c r="R131" s="40"/>
      <c r="S131" s="44"/>
      <c r="T131" s="44"/>
      <c r="U131" s="44"/>
      <c r="W131" s="44"/>
      <c r="X131" s="44"/>
      <c r="Y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1:35" ht="30" hidden="1" x14ac:dyDescent="0.25">
      <c r="A132" s="1" t="s">
        <v>219</v>
      </c>
      <c r="B132" s="1"/>
      <c r="C132" s="1"/>
      <c r="D132" s="1"/>
      <c r="E132" s="1"/>
      <c r="F132" s="40">
        <f>F131+F120-F127</f>
        <v>1676.7730900000097</v>
      </c>
      <c r="G132" s="40"/>
      <c r="H132" s="40"/>
      <c r="I132" s="40">
        <f>F132+I120-I127</f>
        <v>1172.599060000015</v>
      </c>
      <c r="J132" s="40"/>
      <c r="K132" s="40"/>
      <c r="L132" s="40">
        <f>I132+L120-L127</f>
        <v>380.74724000001152</v>
      </c>
      <c r="M132" s="40"/>
      <c r="N132" s="40"/>
      <c r="O132" s="40">
        <f>L132+O120-O127</f>
        <v>2.5130000016361009E-2</v>
      </c>
      <c r="P132" s="40">
        <f>L132+P120-P127</f>
        <v>647.62061000001268</v>
      </c>
      <c r="Q132" s="40"/>
      <c r="R132" s="40"/>
      <c r="S132" s="40">
        <f>$P$132+S126-S127</f>
        <v>-3.1299999900511466E-3</v>
      </c>
      <c r="T132" s="40">
        <f>$P$132+T120-T127</f>
        <v>804.24221000001126</v>
      </c>
      <c r="U132" s="40"/>
      <c r="V132" s="40">
        <f>J132</f>
        <v>0</v>
      </c>
      <c r="W132" s="40">
        <f>$T$132+W126-W127</f>
        <v>-3.1299999900511466E-3</v>
      </c>
      <c r="X132" s="40">
        <f>T134+X120-X127</f>
        <v>238.66844000000128</v>
      </c>
      <c r="Y132" s="40"/>
      <c r="Z132" s="40">
        <f>X132</f>
        <v>238.66844000000128</v>
      </c>
      <c r="AA132" s="40">
        <f>X134+AA126-AA127</f>
        <v>-1.5600000042468309E-3</v>
      </c>
      <c r="AB132" s="40"/>
      <c r="AC132" s="40"/>
      <c r="AD132" s="40">
        <f>X134+AD120-AD127</f>
        <v>887.16943999999785</v>
      </c>
      <c r="AF132" s="40"/>
      <c r="AG132" s="40"/>
      <c r="AH132" s="40"/>
      <c r="AI132" s="40"/>
    </row>
    <row r="133" spans="1:35" ht="60" hidden="1" x14ac:dyDescent="0.25">
      <c r="A133" s="1" t="s">
        <v>220</v>
      </c>
      <c r="B133" s="1"/>
      <c r="C133" s="1"/>
      <c r="D133" s="1"/>
      <c r="E133" s="1"/>
      <c r="F133" s="40">
        <v>20.399999999999999</v>
      </c>
      <c r="G133" s="45"/>
      <c r="H133" s="45"/>
      <c r="I133" s="40">
        <v>20.399999999999999</v>
      </c>
      <c r="J133" s="45"/>
      <c r="K133" s="45"/>
      <c r="L133" s="40">
        <v>45.926299999999998</v>
      </c>
      <c r="M133" s="40"/>
      <c r="N133" s="45"/>
      <c r="O133" s="45"/>
      <c r="P133" s="40">
        <f>L133+20.06288</f>
        <v>65.989180000000005</v>
      </c>
      <c r="Q133" s="40"/>
      <c r="R133" s="45"/>
      <c r="S133" s="45"/>
      <c r="T133" s="40">
        <f>$P$133-33.25635</f>
        <v>32.732830000000007</v>
      </c>
      <c r="U133" s="40"/>
      <c r="V133" s="45"/>
      <c r="W133" s="45"/>
      <c r="X133" s="40">
        <f>T133-30.23283</f>
        <v>2.5000000000000071</v>
      </c>
      <c r="Y133" s="40"/>
      <c r="Z133" s="45"/>
      <c r="AA133" s="45"/>
      <c r="AB133" s="45"/>
      <c r="AC133" s="45"/>
      <c r="AD133" s="40">
        <f>X133-2.5</f>
        <v>7.1054273576010019E-15</v>
      </c>
      <c r="AE133" s="45"/>
      <c r="AF133" s="45"/>
      <c r="AG133" s="45"/>
      <c r="AH133" s="45"/>
      <c r="AI133" s="40"/>
    </row>
    <row r="134" spans="1:35" hidden="1" x14ac:dyDescent="0.25">
      <c r="A134" s="46" t="s">
        <v>221</v>
      </c>
      <c r="B134" s="1"/>
      <c r="C134" s="1"/>
      <c r="D134" s="1"/>
      <c r="E134" s="1"/>
      <c r="F134" s="47">
        <f>F132-F133</f>
        <v>1656.3730900000096</v>
      </c>
      <c r="G134" s="1"/>
      <c r="H134" s="47"/>
      <c r="I134" s="47">
        <f>I132-I133</f>
        <v>1152.1990600000149</v>
      </c>
      <c r="J134" s="1"/>
      <c r="K134" s="47"/>
      <c r="L134" s="47">
        <v>380.75036999999998</v>
      </c>
      <c r="M134" s="47"/>
      <c r="N134" s="1"/>
      <c r="O134" s="47"/>
      <c r="P134" s="47">
        <v>380.75036999999998</v>
      </c>
      <c r="Q134" s="47"/>
      <c r="R134" s="1"/>
      <c r="S134" s="47"/>
      <c r="T134" s="47">
        <v>804.24534000000006</v>
      </c>
      <c r="U134" s="47"/>
      <c r="V134" s="1"/>
      <c r="W134" s="47"/>
      <c r="X134" s="47">
        <v>238.66844</v>
      </c>
      <c r="Y134" s="47"/>
      <c r="Z134" s="1"/>
      <c r="AA134" s="47"/>
      <c r="AB134" s="1"/>
      <c r="AC134" s="1"/>
      <c r="AD134" s="47">
        <v>887.16974000000005</v>
      </c>
      <c r="AE134" s="1"/>
      <c r="AF134" s="1"/>
      <c r="AG134" s="1"/>
      <c r="AH134" s="1"/>
      <c r="AI134" s="47"/>
    </row>
    <row r="135" spans="1:35" hidden="1" x14ac:dyDescent="0.25">
      <c r="B135" s="1"/>
      <c r="C135" s="1"/>
      <c r="D135" s="1"/>
      <c r="E135" s="1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</row>
    <row r="136" spans="1:35" ht="15" hidden="1" customHeight="1" x14ac:dyDescent="0.25">
      <c r="B136" s="1"/>
      <c r="C136" s="1"/>
      <c r="D136" s="1"/>
      <c r="E136" s="1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</row>
    <row r="137" spans="1:35" ht="15" hidden="1" customHeight="1" x14ac:dyDescent="0.25">
      <c r="B137" s="1"/>
      <c r="C137" s="1"/>
      <c r="D137" s="1"/>
      <c r="E137" s="1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</row>
    <row r="138" spans="1:35" ht="15" hidden="1" customHeight="1" x14ac:dyDescent="0.25">
      <c r="B138" s="1"/>
      <c r="C138" s="1"/>
      <c r="D138" s="1"/>
      <c r="E138" s="1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</row>
    <row r="139" spans="1:35" ht="15" hidden="1" customHeight="1" x14ac:dyDescent="0.25">
      <c r="B139" s="1"/>
      <c r="C139" s="1"/>
      <c r="D139" s="1"/>
      <c r="E139" s="1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</row>
    <row r="140" spans="1:35" hidden="1" x14ac:dyDescent="0.25">
      <c r="B140" s="1"/>
      <c r="C140" s="1"/>
      <c r="D140" s="1"/>
      <c r="E140" s="1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</row>
    <row r="141" spans="1:35" hidden="1" x14ac:dyDescent="0.25">
      <c r="A141" s="1" t="s">
        <v>222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7">
        <f>O89+O90+O6*0.1</f>
        <v>2113.75</v>
      </c>
      <c r="P141" s="47">
        <f>P89+P90+P6*0.1</f>
        <v>2115.4749849999998</v>
      </c>
      <c r="Q141" s="1"/>
      <c r="R141" s="47">
        <f>R89+R90</f>
        <v>2586.4</v>
      </c>
      <c r="S141" s="47">
        <f>S89+S90+S6*0.1</f>
        <v>2887.11</v>
      </c>
      <c r="T141" s="47">
        <f>T89+T90+T6*0.1</f>
        <v>2909.1631770000004</v>
      </c>
      <c r="U141" s="1"/>
      <c r="V141" s="47">
        <f>V89+V90+V14</f>
        <v>4023.3</v>
      </c>
      <c r="W141" s="47">
        <f>W89+W90+W14+W143</f>
        <v>5003.9931299999998</v>
      </c>
      <c r="X141" s="47">
        <f>X89+X90+X14+X143</f>
        <v>5068.7567500000005</v>
      </c>
      <c r="Y141" s="1"/>
      <c r="Z141" s="47">
        <f>Z89+Z90+Z14</f>
        <v>3159.8</v>
      </c>
      <c r="AA141" s="47">
        <f>AA89+AA90+AA14+AA143+X148</f>
        <v>3469.656750000001</v>
      </c>
      <c r="AB141" s="1"/>
      <c r="AC141" s="1"/>
      <c r="AD141" s="47">
        <f>AD89+AD90+AD14+AD143+X148</f>
        <v>3686.6422500000008</v>
      </c>
      <c r="AE141" s="1"/>
      <c r="AF141" s="1"/>
      <c r="AG141" s="1"/>
      <c r="AH141" s="1"/>
      <c r="AI141" s="1"/>
    </row>
    <row r="142" spans="1:35" ht="30" hidden="1" x14ac:dyDescent="0.25">
      <c r="A142" s="1" t="s">
        <v>223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>
        <v>2586.4</v>
      </c>
      <c r="S142" s="1">
        <v>2920.4</v>
      </c>
      <c r="T142" s="1">
        <v>2920.4</v>
      </c>
      <c r="U142" s="1"/>
      <c r="V142" s="1">
        <v>4023.3</v>
      </c>
      <c r="W142" s="1">
        <v>5004</v>
      </c>
      <c r="X142" s="1">
        <v>5068.7567499999996</v>
      </c>
      <c r="Y142" s="1"/>
      <c r="Z142" s="1">
        <v>3159.8</v>
      </c>
      <c r="AA142" s="1">
        <v>3469.66</v>
      </c>
      <c r="AB142" s="1"/>
      <c r="AC142" s="1"/>
      <c r="AD142" s="1">
        <v>3686.6422499999999</v>
      </c>
      <c r="AE142" s="1"/>
      <c r="AF142" s="1"/>
      <c r="AG142" s="1"/>
      <c r="AH142" s="1"/>
      <c r="AI142" s="1"/>
    </row>
    <row r="143" spans="1:35" ht="30" hidden="1" x14ac:dyDescent="0.25">
      <c r="A143" s="1" t="s">
        <v>224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>
        <v>32.693129999999996</v>
      </c>
      <c r="X143" s="1">
        <v>32.693129999999996</v>
      </c>
      <c r="Y143" s="1"/>
      <c r="Z143" s="1"/>
      <c r="AA143" s="1">
        <v>0</v>
      </c>
      <c r="AB143" s="1"/>
      <c r="AC143" s="1"/>
      <c r="AD143" s="1"/>
      <c r="AE143" s="1"/>
      <c r="AF143" s="1"/>
      <c r="AG143" s="1"/>
      <c r="AH143" s="1"/>
      <c r="AI143" s="1"/>
    </row>
    <row r="144" spans="1:35" ht="15" hidden="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" hidden="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 hidden="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idden="1" x14ac:dyDescent="0.25">
      <c r="A147" s="1" t="s">
        <v>215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v>2920.4</v>
      </c>
      <c r="U147" s="1"/>
      <c r="V147" s="1"/>
      <c r="W147" s="1"/>
      <c r="X147" s="1">
        <v>4958.8999999999996</v>
      </c>
      <c r="Y147" s="1"/>
      <c r="Z147" s="1"/>
      <c r="AA147" s="1"/>
      <c r="AB147" s="1"/>
      <c r="AC147" s="1"/>
      <c r="AD147" s="1">
        <v>2968.3</v>
      </c>
      <c r="AE147" s="1"/>
      <c r="AF147" s="1"/>
      <c r="AG147" s="1"/>
      <c r="AH147" s="1"/>
      <c r="AI147" s="1"/>
    </row>
    <row r="148" spans="1:35" hidden="1" x14ac:dyDescent="0.25">
      <c r="A148" s="1" t="s">
        <v>225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v>0</v>
      </c>
      <c r="U148" s="1"/>
      <c r="V148" s="1"/>
      <c r="W148" s="1"/>
      <c r="X148" s="47">
        <f>X141-X147</f>
        <v>109.85675000000083</v>
      </c>
      <c r="Y148" s="1"/>
      <c r="Z148" s="1"/>
      <c r="AA148" s="1"/>
      <c r="AB148" s="1"/>
      <c r="AC148" s="1"/>
      <c r="AD148" s="47">
        <f>AD141-AD147</f>
        <v>718.3422500000006</v>
      </c>
      <c r="AE148" s="1"/>
      <c r="AF148" s="1"/>
      <c r="AG148" s="1"/>
      <c r="AH148" s="1"/>
      <c r="AI148" s="1"/>
    </row>
    <row r="149" spans="1:3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</sheetData>
  <mergeCells count="26">
    <mergeCell ref="Q4:Q5"/>
    <mergeCell ref="T4:T5"/>
    <mergeCell ref="U4:U5"/>
    <mergeCell ref="X4:X5"/>
    <mergeCell ref="A4:A5"/>
    <mergeCell ref="B4:B5"/>
    <mergeCell ref="C4:C5"/>
    <mergeCell ref="F4:F5"/>
    <mergeCell ref="I4:I5"/>
    <mergeCell ref="L4:L5"/>
    <mergeCell ref="A123:B123"/>
    <mergeCell ref="A124:B124"/>
    <mergeCell ref="AG4:AG5"/>
    <mergeCell ref="AH4:AH5"/>
    <mergeCell ref="AI4:AI5"/>
    <mergeCell ref="A120:B120"/>
    <mergeCell ref="A121:B121"/>
    <mergeCell ref="A122:B122"/>
    <mergeCell ref="Y4:Y5"/>
    <mergeCell ref="AB4:AB5"/>
    <mergeCell ref="AC4:AC5"/>
    <mergeCell ref="AD4:AD5"/>
    <mergeCell ref="AE4:AE5"/>
    <mergeCell ref="AF4:AF5"/>
    <mergeCell ref="M4:M5"/>
    <mergeCell ref="P4:P5"/>
  </mergeCells>
  <pageMargins left="0.78740157480314965" right="0" top="0.78740157480314965" bottom="0.78740157480314965" header="0" footer="0"/>
  <pageSetup paperSize="9" scale="6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topLeftCell="A2" zoomScale="120" zoomScaleNormal="120" workbookViewId="0">
      <pane xSplit="3" ySplit="4" topLeftCell="D17" activePane="bottomRight" state="frozen"/>
      <selection activeCell="A2" sqref="A2"/>
      <selection pane="topRight" activeCell="D2" sqref="D2"/>
      <selection pane="bottomLeft" activeCell="A5" sqref="A5"/>
      <selection pane="bottomRight" activeCell="DS70" sqref="DS70"/>
    </sheetView>
  </sheetViews>
  <sheetFormatPr defaultRowHeight="11.25" x14ac:dyDescent="0.2"/>
  <cols>
    <col min="1" max="1" width="19.85546875" style="56" customWidth="1"/>
    <col min="2" max="2" width="2.7109375" style="56" bestFit="1" customWidth="1"/>
    <col min="3" max="3" width="3.140625" style="64" bestFit="1" customWidth="1"/>
    <col min="4" max="4" width="6.28515625" style="63" hidden="1" customWidth="1"/>
    <col min="5" max="5" width="8.42578125" style="63" hidden="1" customWidth="1"/>
    <col min="6" max="6" width="9.28515625" style="63" hidden="1" customWidth="1"/>
    <col min="7" max="7" width="9" style="63" hidden="1" customWidth="1"/>
    <col min="8" max="8" width="8" style="63" hidden="1" customWidth="1"/>
    <col min="9" max="9" width="9.28515625" style="63" hidden="1" customWidth="1"/>
    <col min="10" max="10" width="5.7109375" style="63" hidden="1" customWidth="1"/>
    <col min="11" max="11" width="7" style="63" hidden="1" customWidth="1"/>
    <col min="12" max="12" width="8" style="63" hidden="1" customWidth="1"/>
    <col min="13" max="13" width="9.28515625" style="62" hidden="1" customWidth="1"/>
    <col min="14" max="14" width="6.42578125" style="62" hidden="1" customWidth="1"/>
    <col min="15" max="15" width="9.140625" style="62" hidden="1" customWidth="1"/>
    <col min="16" max="16" width="7.5703125" style="62" hidden="1" customWidth="1"/>
    <col min="17" max="27" width="0" style="62" hidden="1" customWidth="1"/>
    <col min="28" max="28" width="0" style="56" hidden="1" customWidth="1"/>
    <col min="29" max="31" width="0" style="62" hidden="1" customWidth="1"/>
    <col min="32" max="32" width="6.28515625" style="62" hidden="1" customWidth="1"/>
    <col min="33" max="36" width="0" style="62" hidden="1" customWidth="1"/>
    <col min="37" max="37" width="11.85546875" style="62" hidden="1" customWidth="1"/>
    <col min="38" max="38" width="0" style="62" hidden="1" customWidth="1"/>
    <col min="39" max="39" width="11.5703125" style="62" hidden="1" customWidth="1"/>
    <col min="40" max="41" width="0" style="56" hidden="1" customWidth="1"/>
    <col min="42" max="50" width="3.7109375" style="60" hidden="1" customWidth="1"/>
    <col min="51" max="51" width="6.42578125" style="60" hidden="1" customWidth="1"/>
    <col min="52" max="52" width="5.5703125" style="60" hidden="1" customWidth="1"/>
    <col min="53" max="53" width="5.85546875" style="60" hidden="1" customWidth="1"/>
    <col min="54" max="54" width="6" style="60" hidden="1" customWidth="1"/>
    <col min="55" max="55" width="7.85546875" style="60" hidden="1" customWidth="1"/>
    <col min="56" max="56" width="5.7109375" style="61" hidden="1" customWidth="1"/>
    <col min="57" max="57" width="6.140625" style="60" hidden="1" customWidth="1"/>
    <col min="58" max="58" width="6" style="60" hidden="1" customWidth="1"/>
    <col min="59" max="59" width="6.85546875" style="60" hidden="1" customWidth="1"/>
    <col min="60" max="60" width="6.7109375" style="60" hidden="1" customWidth="1"/>
    <col min="61" max="61" width="6.85546875" style="60" hidden="1" customWidth="1"/>
    <col min="62" max="63" width="4.28515625" style="60" hidden="1" customWidth="1"/>
    <col min="64" max="64" width="0.7109375" style="60" hidden="1" customWidth="1"/>
    <col min="65" max="65" width="7.28515625" style="56" hidden="1" customWidth="1"/>
    <col min="66" max="66" width="6.7109375" style="56" hidden="1" customWidth="1"/>
    <col min="67" max="67" width="7.28515625" style="56" hidden="1" customWidth="1"/>
    <col min="68" max="68" width="6.7109375" style="56" hidden="1" customWidth="1"/>
    <col min="69" max="70" width="7.28515625" style="56" hidden="1" customWidth="1"/>
    <col min="71" max="71" width="8.42578125" style="56" hidden="1" customWidth="1"/>
    <col min="72" max="72" width="6.140625" style="56" hidden="1" customWidth="1"/>
    <col min="73" max="73" width="6.5703125" style="56" hidden="1" customWidth="1"/>
    <col min="74" max="74" width="5" style="56" hidden="1" customWidth="1"/>
    <col min="75" max="75" width="7.28515625" style="56" hidden="1" customWidth="1"/>
    <col min="76" max="78" width="5.5703125" style="56" hidden="1" customWidth="1"/>
    <col min="79" max="79" width="7" style="56" hidden="1" customWidth="1"/>
    <col min="80" max="80" width="5.7109375" style="56" hidden="1" customWidth="1"/>
    <col min="81" max="81" width="5.28515625" style="56" hidden="1" customWidth="1"/>
    <col min="82" max="82" width="5.85546875" style="56" hidden="1" customWidth="1"/>
    <col min="83" max="83" width="6.28515625" style="56" hidden="1" customWidth="1"/>
    <col min="84" max="84" width="5.7109375" style="56" hidden="1" customWidth="1"/>
    <col min="85" max="85" width="5.5703125" style="56" hidden="1" customWidth="1"/>
    <col min="86" max="86" width="5.85546875" style="56" hidden="1" customWidth="1"/>
    <col min="87" max="87" width="5.28515625" style="56" hidden="1" customWidth="1"/>
    <col min="88" max="89" width="5.5703125" style="56" hidden="1" customWidth="1"/>
    <col min="90" max="90" width="6.28515625" style="56" hidden="1" customWidth="1"/>
    <col min="91" max="91" width="6.5703125" style="59" hidden="1" customWidth="1"/>
    <col min="92" max="92" width="7" style="59" hidden="1" customWidth="1"/>
    <col min="93" max="93" width="7.140625" style="59" hidden="1" customWidth="1"/>
    <col min="94" max="96" width="7.140625" style="56" hidden="1" customWidth="1"/>
    <col min="97" max="97" width="6.85546875" style="56" hidden="1" customWidth="1"/>
    <col min="98" max="98" width="5.28515625" style="56" hidden="1" customWidth="1"/>
    <col min="99" max="99" width="5" style="56" hidden="1" customWidth="1"/>
    <col min="100" max="100" width="5.140625" style="56" hidden="1" customWidth="1"/>
    <col min="101" max="101" width="5.140625" style="58" hidden="1" customWidth="1"/>
    <col min="102" max="102" width="7" style="56" hidden="1" customWidth="1"/>
    <col min="103" max="103" width="6.85546875" style="56" hidden="1" customWidth="1"/>
    <col min="104" max="104" width="6.7109375" style="56" hidden="1" customWidth="1"/>
    <col min="105" max="106" width="0" style="56" hidden="1" customWidth="1"/>
    <col min="107" max="107" width="7.5703125" style="56" hidden="1" customWidth="1"/>
    <col min="108" max="108" width="8.140625" style="56" hidden="1" customWidth="1"/>
    <col min="109" max="109" width="7.28515625" style="56" hidden="1" customWidth="1"/>
    <col min="110" max="110" width="8.7109375" style="56" hidden="1" customWidth="1"/>
    <col min="111" max="112" width="7.28515625" style="56" hidden="1" customWidth="1"/>
    <col min="113" max="113" width="7" style="56" hidden="1" customWidth="1"/>
    <col min="114" max="114" width="7.5703125" style="56" hidden="1" customWidth="1"/>
    <col min="115" max="115" width="4.5703125" style="56" hidden="1" customWidth="1"/>
    <col min="116" max="116" width="4.85546875" style="56" hidden="1" customWidth="1"/>
    <col min="117" max="117" width="5.28515625" style="56" hidden="1" customWidth="1"/>
    <col min="118" max="118" width="4.7109375" style="56" hidden="1" customWidth="1"/>
    <col min="119" max="119" width="7.28515625" style="56" hidden="1" customWidth="1"/>
    <col min="120" max="120" width="6.140625" style="56" hidden="1" customWidth="1"/>
    <col min="121" max="122" width="7.85546875" style="56" hidden="1" customWidth="1"/>
    <col min="123" max="123" width="7.5703125" style="56" customWidth="1"/>
    <col min="124" max="124" width="7.28515625" style="56" customWidth="1"/>
    <col min="125" max="125" width="7.5703125" style="56" hidden="1" customWidth="1"/>
    <col min="126" max="126" width="6.28515625" style="56" hidden="1" customWidth="1"/>
    <col min="127" max="127" width="6.140625" style="56" hidden="1" customWidth="1"/>
    <col min="128" max="128" width="7.42578125" style="56" hidden="1" customWidth="1"/>
    <col min="129" max="129" width="6.7109375" style="56" hidden="1" customWidth="1"/>
    <col min="130" max="130" width="6.28515625" style="56" hidden="1" customWidth="1"/>
    <col min="131" max="131" width="6.140625" style="56" hidden="1" customWidth="1"/>
    <col min="132" max="133" width="7.28515625" style="57" customWidth="1"/>
    <col min="134" max="134" width="8.5703125" style="57" bestFit="1" customWidth="1"/>
    <col min="135" max="135" width="6.85546875" style="56" customWidth="1"/>
    <col min="136" max="136" width="6.5703125" style="56" customWidth="1"/>
    <col min="137" max="137" width="6.85546875" style="56" customWidth="1"/>
    <col min="138" max="138" width="5.85546875" style="56" customWidth="1"/>
    <col min="139" max="139" width="7.140625" style="56" customWidth="1"/>
    <col min="140" max="140" width="6.42578125" style="56" customWidth="1"/>
    <col min="141" max="141" width="6.7109375" style="56" customWidth="1"/>
    <col min="142" max="142" width="7" style="56" bestFit="1" customWidth="1"/>
    <col min="143" max="143" width="7.140625" style="56" customWidth="1"/>
    <col min="144" max="144" width="9.85546875" style="56" bestFit="1" customWidth="1"/>
    <col min="145" max="16384" width="9.140625" style="56"/>
  </cols>
  <sheetData>
    <row r="1" spans="1:144" ht="17.25" customHeight="1" x14ac:dyDescent="0.2">
      <c r="A1" s="193" t="s">
        <v>417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</row>
    <row r="2" spans="1:144" ht="20.2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</row>
    <row r="3" spans="1:144" ht="21" customHeight="1" x14ac:dyDescent="0.2">
      <c r="A3" s="192" t="s">
        <v>416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</row>
    <row r="4" spans="1:144" ht="4.5" customHeight="1" x14ac:dyDescent="0.2">
      <c r="A4" s="191"/>
      <c r="B4" s="191"/>
      <c r="C4" s="191"/>
      <c r="D4" s="190"/>
      <c r="E4" s="190"/>
      <c r="F4" s="190"/>
      <c r="G4" s="190"/>
      <c r="H4" s="190"/>
      <c r="I4" s="190"/>
      <c r="J4" s="190"/>
      <c r="K4" s="190"/>
      <c r="L4" s="189"/>
      <c r="M4" s="189"/>
      <c r="N4" s="189"/>
    </row>
    <row r="5" spans="1:144" s="172" customFormat="1" ht="83.25" customHeight="1" x14ac:dyDescent="0.15">
      <c r="A5" s="188" t="s">
        <v>415</v>
      </c>
      <c r="B5" s="188" t="s">
        <v>414</v>
      </c>
      <c r="C5" s="188" t="s">
        <v>413</v>
      </c>
      <c r="D5" s="187" t="s">
        <v>412</v>
      </c>
      <c r="E5" s="186" t="s">
        <v>411</v>
      </c>
      <c r="F5" s="186" t="s">
        <v>410</v>
      </c>
      <c r="G5" s="186" t="s">
        <v>409</v>
      </c>
      <c r="H5" s="186" t="s">
        <v>408</v>
      </c>
      <c r="I5" s="186" t="s">
        <v>407</v>
      </c>
      <c r="J5" s="186" t="s">
        <v>406</v>
      </c>
      <c r="K5" s="180" t="s">
        <v>405</v>
      </c>
      <c r="L5" s="185" t="s">
        <v>404</v>
      </c>
      <c r="M5" s="185" t="s">
        <v>367</v>
      </c>
      <c r="N5" s="185" t="s">
        <v>403</v>
      </c>
      <c r="O5" s="184" t="s">
        <v>402</v>
      </c>
      <c r="P5" s="184" t="s">
        <v>401</v>
      </c>
      <c r="Q5" s="180" t="s">
        <v>400</v>
      </c>
      <c r="R5" s="180" t="s">
        <v>399</v>
      </c>
      <c r="S5" s="180" t="s">
        <v>398</v>
      </c>
      <c r="T5" s="180" t="s">
        <v>397</v>
      </c>
      <c r="U5" s="180" t="s">
        <v>396</v>
      </c>
      <c r="V5" s="180" t="s">
        <v>395</v>
      </c>
      <c r="W5" s="180" t="s">
        <v>394</v>
      </c>
      <c r="X5" s="180" t="s">
        <v>393</v>
      </c>
      <c r="Y5" s="183" t="s">
        <v>392</v>
      </c>
      <c r="Z5" s="183" t="s">
        <v>391</v>
      </c>
      <c r="AA5" s="180" t="s">
        <v>390</v>
      </c>
      <c r="AB5" s="182"/>
      <c r="AC5" s="181" t="s">
        <v>389</v>
      </c>
      <c r="AD5" s="180" t="s">
        <v>388</v>
      </c>
      <c r="AE5" s="180" t="s">
        <v>387</v>
      </c>
      <c r="AF5" s="180" t="s">
        <v>386</v>
      </c>
      <c r="AG5" s="179" t="s">
        <v>303</v>
      </c>
      <c r="AH5" s="179" t="s">
        <v>385</v>
      </c>
      <c r="AI5" s="179" t="s">
        <v>384</v>
      </c>
      <c r="AJ5" s="179" t="s">
        <v>383</v>
      </c>
      <c r="AK5" s="179" t="s">
        <v>382</v>
      </c>
      <c r="AL5" s="179" t="s">
        <v>381</v>
      </c>
      <c r="AM5" s="179" t="s">
        <v>380</v>
      </c>
      <c r="AN5" s="178" t="s">
        <v>379</v>
      </c>
      <c r="AO5" s="178" t="s">
        <v>378</v>
      </c>
      <c r="AP5" s="175" t="s">
        <v>377</v>
      </c>
      <c r="AQ5" s="175" t="s">
        <v>376</v>
      </c>
      <c r="AR5" s="175"/>
      <c r="AS5" s="177" t="s">
        <v>375</v>
      </c>
      <c r="AT5" s="175" t="s">
        <v>374</v>
      </c>
      <c r="AU5" s="175" t="s">
        <v>373</v>
      </c>
      <c r="AV5" s="175" t="s">
        <v>372</v>
      </c>
      <c r="AW5" s="175" t="s">
        <v>308</v>
      </c>
      <c r="AX5" s="175" t="s">
        <v>371</v>
      </c>
      <c r="AY5" s="175" t="s">
        <v>370</v>
      </c>
      <c r="AZ5" s="175" t="s">
        <v>369</v>
      </c>
      <c r="BA5" s="175" t="s">
        <v>368</v>
      </c>
      <c r="BB5" s="175" t="s">
        <v>367</v>
      </c>
      <c r="BC5" s="175" t="s">
        <v>366</v>
      </c>
      <c r="BD5" s="175" t="s">
        <v>365</v>
      </c>
      <c r="BE5" s="175"/>
      <c r="BF5" s="175"/>
      <c r="BG5" s="175"/>
      <c r="BH5" s="175"/>
      <c r="BI5" s="175"/>
      <c r="BJ5" s="175"/>
      <c r="BK5" s="175"/>
      <c r="BL5" s="175"/>
      <c r="BM5" s="175" t="s">
        <v>364</v>
      </c>
      <c r="BN5" s="175" t="s">
        <v>363</v>
      </c>
      <c r="BO5" s="175" t="s">
        <v>362</v>
      </c>
      <c r="BP5" s="175" t="s">
        <v>361</v>
      </c>
      <c r="BQ5" s="175" t="s">
        <v>360</v>
      </c>
      <c r="BR5" s="175" t="s">
        <v>308</v>
      </c>
      <c r="BS5" s="175" t="s">
        <v>359</v>
      </c>
      <c r="BT5" s="175" t="s">
        <v>358</v>
      </c>
      <c r="BU5" s="175" t="s">
        <v>357</v>
      </c>
      <c r="BV5" s="173" t="s">
        <v>356</v>
      </c>
      <c r="BW5" s="173" t="s">
        <v>352</v>
      </c>
      <c r="BX5" s="173" t="s">
        <v>351</v>
      </c>
      <c r="BY5" s="173" t="s">
        <v>355</v>
      </c>
      <c r="BZ5" s="173" t="s">
        <v>354</v>
      </c>
      <c r="CA5" s="173" t="s">
        <v>348</v>
      </c>
      <c r="CB5" s="173" t="s">
        <v>347</v>
      </c>
      <c r="CC5" s="175"/>
      <c r="CD5" s="175"/>
      <c r="CE5" s="175"/>
      <c r="CF5" s="175" t="s">
        <v>353</v>
      </c>
      <c r="CG5" s="173" t="s">
        <v>352</v>
      </c>
      <c r="CH5" s="173" t="s">
        <v>351</v>
      </c>
      <c r="CI5" s="173" t="s">
        <v>350</v>
      </c>
      <c r="CJ5" s="173" t="s">
        <v>349</v>
      </c>
      <c r="CK5" s="173" t="s">
        <v>348</v>
      </c>
      <c r="CL5" s="173" t="s">
        <v>347</v>
      </c>
      <c r="CM5" s="175" t="s">
        <v>346</v>
      </c>
      <c r="CN5" s="175" t="s">
        <v>345</v>
      </c>
      <c r="CO5" s="175" t="s">
        <v>344</v>
      </c>
      <c r="CP5" s="175" t="s">
        <v>343</v>
      </c>
      <c r="CQ5" s="175" t="s">
        <v>342</v>
      </c>
      <c r="CR5" s="175"/>
      <c r="CS5" s="175" t="s">
        <v>341</v>
      </c>
      <c r="CT5" s="175" t="s">
        <v>340</v>
      </c>
      <c r="CU5" s="175" t="s">
        <v>339</v>
      </c>
      <c r="CV5" s="175" t="s">
        <v>338</v>
      </c>
      <c r="CW5" s="176"/>
      <c r="CX5" s="175" t="s">
        <v>337</v>
      </c>
      <c r="CY5" s="175" t="s">
        <v>336</v>
      </c>
      <c r="CZ5" s="175" t="s">
        <v>335</v>
      </c>
      <c r="DA5" s="175" t="s">
        <v>334</v>
      </c>
      <c r="DB5" s="175" t="s">
        <v>333</v>
      </c>
      <c r="DC5" s="175" t="s">
        <v>308</v>
      </c>
      <c r="DD5" s="175" t="s">
        <v>332</v>
      </c>
      <c r="DE5" s="175" t="s">
        <v>331</v>
      </c>
      <c r="DF5" s="175" t="s">
        <v>330</v>
      </c>
      <c r="DG5" s="175" t="s">
        <v>329</v>
      </c>
      <c r="DH5" s="175" t="s">
        <v>328</v>
      </c>
      <c r="DI5" s="175" t="s">
        <v>327</v>
      </c>
      <c r="DJ5" s="175" t="s">
        <v>326</v>
      </c>
      <c r="DK5" s="175" t="s">
        <v>325</v>
      </c>
      <c r="DL5" s="175" t="s">
        <v>324</v>
      </c>
      <c r="DM5" s="175" t="s">
        <v>323</v>
      </c>
      <c r="DN5" s="175" t="s">
        <v>322</v>
      </c>
      <c r="DO5" s="175" t="s">
        <v>321</v>
      </c>
      <c r="DP5" s="175" t="s">
        <v>320</v>
      </c>
      <c r="DQ5" s="175" t="s">
        <v>319</v>
      </c>
      <c r="DR5" s="175" t="s">
        <v>308</v>
      </c>
      <c r="DS5" s="175" t="s">
        <v>318</v>
      </c>
      <c r="DT5" s="175" t="s">
        <v>317</v>
      </c>
      <c r="DU5" s="175" t="s">
        <v>316</v>
      </c>
      <c r="DV5" s="175" t="s">
        <v>315</v>
      </c>
      <c r="DW5" s="175" t="s">
        <v>314</v>
      </c>
      <c r="DX5" s="175" t="s">
        <v>313</v>
      </c>
      <c r="DY5" s="175" t="s">
        <v>312</v>
      </c>
      <c r="DZ5" s="175" t="s">
        <v>311</v>
      </c>
      <c r="EA5" s="175" t="s">
        <v>310</v>
      </c>
      <c r="EB5" s="174" t="s">
        <v>309</v>
      </c>
      <c r="EC5" s="174" t="s">
        <v>308</v>
      </c>
      <c r="ED5" s="174" t="s">
        <v>307</v>
      </c>
      <c r="EE5" s="173" t="s">
        <v>306</v>
      </c>
      <c r="EF5" s="173" t="s">
        <v>305</v>
      </c>
      <c r="EG5" s="173" t="s">
        <v>304</v>
      </c>
      <c r="EH5" s="173" t="s">
        <v>303</v>
      </c>
      <c r="EI5" s="173" t="s">
        <v>302</v>
      </c>
      <c r="EJ5" s="173" t="s">
        <v>301</v>
      </c>
      <c r="EK5" s="173" t="s">
        <v>300</v>
      </c>
      <c r="EL5" s="173" t="s">
        <v>299</v>
      </c>
      <c r="EM5" s="173" t="s">
        <v>298</v>
      </c>
    </row>
    <row r="6" spans="1:144" s="165" customFormat="1" ht="22.5" customHeight="1" x14ac:dyDescent="0.15">
      <c r="A6" s="91" t="s">
        <v>297</v>
      </c>
      <c r="B6" s="171" t="s">
        <v>241</v>
      </c>
      <c r="C6" s="171"/>
      <c r="D6" s="170">
        <f>D7+D8+D10+D11</f>
        <v>8349.4230000000007</v>
      </c>
      <c r="E6" s="166">
        <f>E7+E8+E10+E11</f>
        <v>8766.7000000000007</v>
      </c>
      <c r="F6" s="166">
        <f>F7+F8+F10+F11</f>
        <v>10089.380000000001</v>
      </c>
      <c r="G6" s="166">
        <f>F6-E6</f>
        <v>1322.6800000000003</v>
      </c>
      <c r="H6" s="169">
        <f>F6/E6</f>
        <v>1.1508754719563805</v>
      </c>
      <c r="I6" s="166">
        <f>I7+I8+I10+I11</f>
        <v>10089.377</v>
      </c>
      <c r="J6" s="166">
        <f>I6-F6</f>
        <v>-3.0000000006111804E-3</v>
      </c>
      <c r="K6" s="166">
        <f>K7+K8+K10+K11</f>
        <v>9872.3130000000001</v>
      </c>
      <c r="L6" s="166">
        <f>L7+L8+L10+L11</f>
        <v>338.81800690006946</v>
      </c>
      <c r="M6" s="166">
        <f>M7+M8+M10+M11</f>
        <v>295.67454542116241</v>
      </c>
      <c r="N6" s="166">
        <f>N7+N8+N10+N11</f>
        <v>23.851176565976271</v>
      </c>
      <c r="O6" s="166">
        <f>O7+O8+O10+O11</f>
        <v>-217.06700000000046</v>
      </c>
      <c r="P6" s="166">
        <f>P7+P8+P10+P11</f>
        <v>373.25650530164387</v>
      </c>
      <c r="Q6" s="166">
        <f>Q7+Q8+Q10+Q11</f>
        <v>8775.4000000000015</v>
      </c>
      <c r="R6" s="166">
        <f>R7+R8+R10+R11</f>
        <v>8775.4000000000015</v>
      </c>
      <c r="S6" s="166">
        <f>S7+S8+S10+S11</f>
        <v>4</v>
      </c>
      <c r="T6" s="166">
        <f>T7+T8+T10+T11</f>
        <v>8743.2999999999993</v>
      </c>
      <c r="U6" s="166">
        <f>U7+U8+U10+U11</f>
        <v>3.9836364854202673</v>
      </c>
      <c r="V6" s="166">
        <f>V7+V8+V10+V11</f>
        <v>-32.099999999999909</v>
      </c>
      <c r="W6" s="166">
        <f>W7+W8+W10+W11</f>
        <v>9360.2999999999993</v>
      </c>
      <c r="X6" s="166">
        <f>X7+X8+X10+X11</f>
        <v>9995.2999999999993</v>
      </c>
      <c r="Y6" s="166">
        <f>Y7+Y8+Y10+Y11</f>
        <v>0.28915228340779892</v>
      </c>
      <c r="Z6" s="166">
        <f>Z7+Z8+Z10+Z11</f>
        <v>0.3603344535680052</v>
      </c>
      <c r="AA6" s="166">
        <f>AA7+AA8+AA10+AA11</f>
        <v>0.3655564373671949</v>
      </c>
      <c r="AB6" s="166">
        <f>AB7+AB8+AB10+AB11</f>
        <v>-1.636351457973273E-2</v>
      </c>
      <c r="AC6" s="166">
        <f>AC7+AC8+AC10+AC11+AC9</f>
        <v>9126.7000000000007</v>
      </c>
      <c r="AD6" s="166">
        <f>AD7+AD8+AD10+AD11+AD9</f>
        <v>9055.5</v>
      </c>
      <c r="AE6" s="166">
        <f>AE7+AE8+AE10+AE11+AE9</f>
        <v>9055.5149999999994</v>
      </c>
      <c r="AF6" s="166">
        <f>AF7+AF8+AF10+AF11+AF9</f>
        <v>9055.5099999999984</v>
      </c>
      <c r="AG6" s="166">
        <f>AG7+AG8+AG10+AG11+AG9</f>
        <v>3.9999983800674768</v>
      </c>
      <c r="AH6" s="166">
        <f>AH7+AH8+AH10+AH11+AH9</f>
        <v>5.0000000010186341E-3</v>
      </c>
      <c r="AI6" s="166">
        <f>AI7+AI8+AI10+AI11+AI9</f>
        <v>4.0587954111839606</v>
      </c>
      <c r="AJ6" s="166">
        <f>AJ7+AJ8+AJ10+AJ11+AJ9</f>
        <v>4.0000123412292066</v>
      </c>
      <c r="AK6" s="166">
        <f>AK7+AK8+AK10+AK11+AK9</f>
        <v>4.0587970413704921</v>
      </c>
      <c r="AL6" s="166">
        <f>AL7+AL8+AL10+AL11+AL9</f>
        <v>0.22284137437373536</v>
      </c>
      <c r="AM6" s="166">
        <f>AM7+AM8+AM10+AM11+AM9</f>
        <v>-71.199999999999818</v>
      </c>
      <c r="AN6" s="166">
        <f>AN7+AN8+AN10+AN11+AN9</f>
        <v>1.4999999999872671E-2</v>
      </c>
      <c r="AO6" s="168" t="e">
        <f>AO7+AO8+AO10+AO11+AO9</f>
        <v>#DIV/0!</v>
      </c>
      <c r="AP6" s="166">
        <f>AP7+AP8+AP10+AP11+AP9</f>
        <v>8743.2999999999993</v>
      </c>
      <c r="AQ6" s="166">
        <f>AQ7+AQ8+AQ10+AQ11+AQ9</f>
        <v>8743.2999999999993</v>
      </c>
      <c r="AR6" s="166">
        <f>AR7+AR8+AR10+AR11+AR9</f>
        <v>0</v>
      </c>
      <c r="AS6" s="166">
        <f>AS7+AS8+AS10+AS11+AS9</f>
        <v>6671.3</v>
      </c>
      <c r="AT6" s="166">
        <f>AT7+AT8+AT10+AT11+AT9</f>
        <v>8994.2999999999993</v>
      </c>
      <c r="AU6" s="166">
        <f>AT6-AP6</f>
        <v>251</v>
      </c>
      <c r="AV6" s="166">
        <f>AT6/AP6*100</f>
        <v>102.87076961787885</v>
      </c>
      <c r="AW6" s="166">
        <f>AW7+AW8+AW10+AW11+AW9</f>
        <v>8994.2999999999993</v>
      </c>
      <c r="AX6" s="166">
        <f>AW6-AT6</f>
        <v>0</v>
      </c>
      <c r="AY6" s="166">
        <f>AY7+AY8+AY10+AY11+AY9</f>
        <v>8994.2999999999993</v>
      </c>
      <c r="AZ6" s="166">
        <f>AZ7+AZ8+AZ10+AZ11+AZ9</f>
        <v>0</v>
      </c>
      <c r="BA6" s="166">
        <f>BA7+BA8+BA10+BA11+BA9</f>
        <v>300</v>
      </c>
      <c r="BB6" s="166">
        <f>BB7+BB8+BB10+BB11+BB9</f>
        <v>300</v>
      </c>
      <c r="BC6" s="166">
        <f>BC7+BC8+BC10+BC11+BC9</f>
        <v>319.21225252315014</v>
      </c>
      <c r="BD6" s="166">
        <f>BD7+BD8+BD10+BD11+BD9</f>
        <v>316.45144537713287</v>
      </c>
      <c r="BE6" s="166">
        <f>BE7+BE8+BE10+BE11+BE9</f>
        <v>8971.5</v>
      </c>
      <c r="BF6" s="166">
        <f>BF7+BF8+BF10+BF11+BF9</f>
        <v>408.4959046909903</v>
      </c>
      <c r="BG6" s="166">
        <f>BG7+BG8+BG10+BG11+BG9</f>
        <v>-22.800000000000182</v>
      </c>
      <c r="BH6" s="166">
        <f>BH7+BH8+BH10+BH11+BH9</f>
        <v>9410.2999999999993</v>
      </c>
      <c r="BI6" s="166">
        <f>BI7+BI8+BI10+BI11+BI9</f>
        <v>10054.299999999999</v>
      </c>
      <c r="BJ6" s="166">
        <f>BJ7+BJ8+BJ10+BJ11+BJ9</f>
        <v>33.808278440180281</v>
      </c>
      <c r="BK6" s="166">
        <f>BK7+BK8+BK10+BK11+BK9</f>
        <v>37.259366017057204</v>
      </c>
      <c r="BL6" s="166">
        <f>BL7+BL8+BL10+BL11+BL9</f>
        <v>36.604617126546842</v>
      </c>
      <c r="BM6" s="166">
        <f>BM7+BM8+BM10+BM11+BM9</f>
        <v>8971.5</v>
      </c>
      <c r="BN6" s="166">
        <f>BN7+BN8+BN10+BN11+BN9</f>
        <v>9737.7999999999993</v>
      </c>
      <c r="BO6" s="166">
        <f>BO7+BO8+BO10+BO11+BO9</f>
        <v>7592.4</v>
      </c>
      <c r="BP6" s="166">
        <f>BP7+BP8+BP10+BP11+BP9</f>
        <v>9737.7999999999993</v>
      </c>
      <c r="BQ6" s="166">
        <f>BQ7+BQ8+BQ10+BQ11+BQ9</f>
        <v>10165.400000000001</v>
      </c>
      <c r="BR6" s="166">
        <f>BR7+BR8+BR10+BR11+BR9</f>
        <v>10165.400000000001</v>
      </c>
      <c r="BS6" s="166">
        <f>BS7+BS8+BS10+BS11+BS9</f>
        <v>10165.400000000001</v>
      </c>
      <c r="BT6" s="166">
        <f>BT7+BT8+BT10+BT11+BT9</f>
        <v>10165.400000000001</v>
      </c>
      <c r="BU6" s="166">
        <f>BU7+BU8+BU10+BU11+BU9</f>
        <v>10165.400000000001</v>
      </c>
      <c r="BV6" s="166">
        <f>BV7+BV8+BV10+BV11+BV9</f>
        <v>10165.400000000001</v>
      </c>
      <c r="BW6" s="166">
        <f>BW7+BW8+BW10+BW11+BW9</f>
        <v>10165.400000000001</v>
      </c>
      <c r="BX6" s="166">
        <f>BX7+BX8+BX10+BX11+BX9</f>
        <v>10165.400000000001</v>
      </c>
      <c r="BY6" s="166">
        <f>BY7+BY8+BY10+BY11+BY9</f>
        <v>10165.400000000001</v>
      </c>
      <c r="BZ6" s="166">
        <f>BZ7+BZ8+BZ10+BZ11+BZ9</f>
        <v>10165.400000000001</v>
      </c>
      <c r="CA6" s="166">
        <f>CA7+CA8+CA10+CA11+CA9</f>
        <v>10165.400000000001</v>
      </c>
      <c r="CB6" s="166">
        <f>CB7+CB8+CB10+CB11+CB9</f>
        <v>10165.400000000001</v>
      </c>
      <c r="CC6" s="166">
        <f>CC7+CC8+CC10+CC11+CC9</f>
        <v>10165.400000000001</v>
      </c>
      <c r="CD6" s="166">
        <f>CD7+CD8+CD10+CD11+CD9</f>
        <v>10165.400000000001</v>
      </c>
      <c r="CE6" s="166">
        <f>CE7+CE8+CE10+CE11+CE9</f>
        <v>10165.400000000001</v>
      </c>
      <c r="CF6" s="166">
        <f>CF7+CF8+CF10+CF11+CF9</f>
        <v>10165.400000000001</v>
      </c>
      <c r="CG6" s="166">
        <f>CG7+CG8+CG10+CG11+CG9</f>
        <v>10165.400000000001</v>
      </c>
      <c r="CH6" s="166">
        <f>CH7+CH8+CH10+CH11+CH9</f>
        <v>10165.400000000001</v>
      </c>
      <c r="CI6" s="166">
        <f>CI7+CI8+CI10+CI11+CI9</f>
        <v>10165.400000000001</v>
      </c>
      <c r="CJ6" s="166">
        <f>CJ7+CJ8+CJ10+CJ11+CJ9</f>
        <v>10165.400000000001</v>
      </c>
      <c r="CK6" s="166">
        <f>CK7+CK8+CK10+CK11+CK9</f>
        <v>10165.400000000001</v>
      </c>
      <c r="CL6" s="166">
        <f>CL7+CL8+CL10+CL11+CL9</f>
        <v>10165.400000000001</v>
      </c>
      <c r="CM6" s="167">
        <f>CM7+CM8+CM10+CM11+CM9</f>
        <v>10068.799999999999</v>
      </c>
      <c r="CN6" s="167">
        <f>CN7+CN8+CN10+CN11+CN9</f>
        <v>10824.8</v>
      </c>
      <c r="CO6" s="166">
        <f>CO7+CO8+CO10+CO11+CO9</f>
        <v>8316.2000000000007</v>
      </c>
      <c r="CP6" s="166">
        <f>CP7+CP8+CP10+CP11+CP9</f>
        <v>10824.7</v>
      </c>
      <c r="CQ6" s="166">
        <f>CQ7+CQ8+CQ10+CQ11+CQ9</f>
        <v>11360.13</v>
      </c>
      <c r="CR6" s="166">
        <f>CR7+CR8+CR10+CR11+CR9</f>
        <v>0</v>
      </c>
      <c r="CS6" s="166">
        <f>CS7+CS8+CS10+CS11+CS9</f>
        <v>0</v>
      </c>
      <c r="CT6" s="166">
        <f>CT7+CT8+CT10+CT11+CT9</f>
        <v>0</v>
      </c>
      <c r="CU6" s="166">
        <f>CU7+CU8+CU10+CU11+CU9</f>
        <v>0</v>
      </c>
      <c r="CV6" s="166">
        <f>CV7+CV8+CV10+CV11+CV9</f>
        <v>0</v>
      </c>
      <c r="CW6" s="166">
        <f>CW7+CW8+CW10+CW11+CW9</f>
        <v>0</v>
      </c>
      <c r="CX6" s="166">
        <f>CX7+CX8+CX10+CX11+CX9</f>
        <v>0</v>
      </c>
      <c r="CY6" s="166">
        <f>CY7+CY8+CY10+CY11+CY9</f>
        <v>0</v>
      </c>
      <c r="CZ6" s="166">
        <f>CZ7+CZ8+CZ10+CZ11+CZ9</f>
        <v>0</v>
      </c>
      <c r="DA6" s="166">
        <f>DA7+DA8+DA10+DA11+DA9</f>
        <v>0</v>
      </c>
      <c r="DB6" s="166">
        <f>DB7+DB8+DB10+DB11+DB9</f>
        <v>0</v>
      </c>
      <c r="DC6" s="166">
        <f>DC7+DC8+DC10+DC11+DC9</f>
        <v>11451</v>
      </c>
      <c r="DD6" s="166">
        <f>DD7+DD8+DD10+DD11+DD9</f>
        <v>10868.9</v>
      </c>
      <c r="DE6" s="166">
        <f>DE7+DE8+DE10+DE11+DE9</f>
        <v>9821.2000000000007</v>
      </c>
      <c r="DF6" s="166">
        <f>DF7+DF8+DF10+DF11+DF9</f>
        <v>10043.17</v>
      </c>
      <c r="DG6" s="166">
        <f>DG7+DG8+DG10+DG11+DG9</f>
        <v>10043.200000000001</v>
      </c>
      <c r="DH6" s="166">
        <f>DH7+DH8+DH10+DH11+DH9</f>
        <v>10510.7</v>
      </c>
      <c r="DI6" s="166">
        <f>DI7+DI8+DI10+DI11+DI9</f>
        <v>10478.200000000001</v>
      </c>
      <c r="DJ6" s="166">
        <f>DJ7+DJ8+DJ10+DJ11+DJ9</f>
        <v>11206.2</v>
      </c>
      <c r="DK6" s="166">
        <f>DK7+DK8+DK10+DK11+DK9</f>
        <v>23.819089518433749</v>
      </c>
      <c r="DL6" s="166">
        <f>DL7+DL8+DL10+DL11+DL9</f>
        <v>34.224990719816617</v>
      </c>
      <c r="DM6" s="166">
        <f>DM7+DM8+DM10+DM11+DM9</f>
        <v>34.876994205030741</v>
      </c>
      <c r="DN6" s="166">
        <f>DN7+DN8+DN10+DN11+DN9</f>
        <v>37.285270817459818</v>
      </c>
      <c r="DO6" s="166">
        <f>DO7+DO8+DO10+DO11+DO9</f>
        <v>467.50000000000011</v>
      </c>
      <c r="DP6" s="166" t="e">
        <f>DP7+DP8+DP10+DP11+DP9</f>
        <v>#DIV/0!</v>
      </c>
      <c r="DQ6" s="166">
        <f>DQ7+DQ8+DQ10+DQ11+DQ9</f>
        <v>11042.98</v>
      </c>
      <c r="DR6" s="166">
        <f>DR7+DR8+DR10+DR11+DR9</f>
        <v>11043</v>
      </c>
      <c r="DS6" s="83">
        <f>DS7+DS8+DS10+DS11+DS9</f>
        <v>11021.4</v>
      </c>
      <c r="DT6" s="83">
        <f>DT7+DT8+DT10+DT11+DT9</f>
        <v>10510.7</v>
      </c>
      <c r="DU6" s="83">
        <f>DU7+DU8+DU10+DU11+DU9</f>
        <v>13365.750000000002</v>
      </c>
      <c r="DV6" s="83">
        <f>DV7+DV8+DV10+DV11+DV9</f>
        <v>13337.570000000002</v>
      </c>
      <c r="DW6" s="83">
        <f>DW7+DW8+DW10+DW11+DW9</f>
        <v>10251.85</v>
      </c>
      <c r="DX6" s="83">
        <f>DX7+DX8+DX10+DX11+DX9</f>
        <v>13301.8</v>
      </c>
      <c r="DY6" s="83">
        <f>DY7+DY8+DY10+DY11+DY9</f>
        <v>10665.7</v>
      </c>
      <c r="DZ6" s="83">
        <f>DZ7+DZ8+DZ10+DZ11+DZ9</f>
        <v>11244.3</v>
      </c>
      <c r="EA6" s="83">
        <f>EA7+EA8+EA10+EA11+EA9</f>
        <v>12020.4</v>
      </c>
      <c r="EB6" s="83">
        <f>EB7+EB8+EB10+EB11+EB9</f>
        <v>13619.2</v>
      </c>
      <c r="EC6" s="83">
        <f>EC7+EC8+EC10+EC11+EC9</f>
        <v>13619.2</v>
      </c>
      <c r="ED6" s="83">
        <f>ED7+ED8+ED10+ED11+ED9</f>
        <v>13619.2</v>
      </c>
      <c r="EE6" s="86">
        <f>EC6-EB6</f>
        <v>0</v>
      </c>
      <c r="EF6" s="86">
        <f>EC6/EB6*100</f>
        <v>100</v>
      </c>
      <c r="EG6" s="86">
        <f>EC6-ED6</f>
        <v>0</v>
      </c>
      <c r="EH6" s="86">
        <f>ED6/EC6*100</f>
        <v>100</v>
      </c>
      <c r="EI6" s="86">
        <f>ED6/DT6*100</f>
        <v>129.57462395463671</v>
      </c>
      <c r="EJ6" s="86">
        <f>ED6/EB6*100</f>
        <v>100</v>
      </c>
      <c r="EK6" s="86">
        <f>ED6/DS6*100</f>
        <v>123.5705082838841</v>
      </c>
      <c r="EL6" s="86">
        <f>EB6-DT6</f>
        <v>3108.5</v>
      </c>
      <c r="EM6" s="86">
        <f>EB6/DT6*100</f>
        <v>129.57462395463671</v>
      </c>
      <c r="EN6" s="67"/>
    </row>
    <row r="7" spans="1:144" ht="30" customHeight="1" x14ac:dyDescent="0.2">
      <c r="A7" s="138" t="s">
        <v>296</v>
      </c>
      <c r="B7" s="115" t="s">
        <v>241</v>
      </c>
      <c r="C7" s="115" t="s">
        <v>237</v>
      </c>
      <c r="D7" s="111">
        <f>877.608+199.054+829.13+160.058</f>
        <v>2065.85</v>
      </c>
      <c r="E7" s="107" t="s">
        <v>295</v>
      </c>
      <c r="F7" s="94">
        <v>2152.86</v>
      </c>
      <c r="G7" s="94">
        <f>F7-E7</f>
        <v>97.860000000000127</v>
      </c>
      <c r="H7" s="106" t="s">
        <v>294</v>
      </c>
      <c r="I7" s="94">
        <v>2152.855</v>
      </c>
      <c r="J7" s="83">
        <f>I7-F7</f>
        <v>-5.0000000001091394E-3</v>
      </c>
      <c r="K7" s="94">
        <f>883.206+218.931+916.723+133.994</f>
        <v>2152.8539999999998</v>
      </c>
      <c r="L7" s="105">
        <f>K7/E7*100</f>
        <v>104.76175182481751</v>
      </c>
      <c r="M7" s="105">
        <f>K7/F7*100</f>
        <v>99.999721300967067</v>
      </c>
      <c r="N7" s="105">
        <f>K7/$K$42*100</f>
        <v>5.2012229428674184</v>
      </c>
      <c r="O7" s="105">
        <f>K7-F7</f>
        <v>-6.0000000003128662E-3</v>
      </c>
      <c r="P7" s="105">
        <f>K7/D7*100</f>
        <v>104.21153520342716</v>
      </c>
      <c r="Q7" s="114">
        <v>2055</v>
      </c>
      <c r="R7" s="102">
        <v>2055</v>
      </c>
      <c r="S7" s="100">
        <f>R7/Q7</f>
        <v>1</v>
      </c>
      <c r="T7" s="102">
        <v>2055</v>
      </c>
      <c r="U7" s="100">
        <f>T7/R7</f>
        <v>1</v>
      </c>
      <c r="V7" s="94">
        <f>T7-R7</f>
        <v>0</v>
      </c>
      <c r="W7" s="102">
        <v>2055</v>
      </c>
      <c r="X7" s="102">
        <v>2055</v>
      </c>
      <c r="Y7" s="104">
        <f>T7/$T$42</f>
        <v>6.796151823716752E-2</v>
      </c>
      <c r="Z7" s="104">
        <f>W7/$W$42</f>
        <v>7.9109355691831529E-2</v>
      </c>
      <c r="AA7" s="104">
        <f>X7/$X$42</f>
        <v>7.5157171749680896E-2</v>
      </c>
      <c r="AB7" s="103">
        <f>U7-100%</f>
        <v>0</v>
      </c>
      <c r="AC7" s="94">
        <v>2055</v>
      </c>
      <c r="AD7" s="102">
        <v>2505.5</v>
      </c>
      <c r="AE7" s="101">
        <v>2505.509</v>
      </c>
      <c r="AF7" s="101">
        <f>1161.03+223.587+941.06+179.831</f>
        <v>2505.5079999999998</v>
      </c>
      <c r="AG7" s="100">
        <f>AF7/AE7</f>
        <v>0.99999960087950179</v>
      </c>
      <c r="AH7" s="94">
        <f>AE7-AF7</f>
        <v>1.0000000002037268E-3</v>
      </c>
      <c r="AI7" s="100">
        <f>AF7/AC7</f>
        <v>1.2192253041362529</v>
      </c>
      <c r="AJ7" s="100">
        <f>AF7/AD7</f>
        <v>1.000003192975454</v>
      </c>
      <c r="AK7" s="100">
        <f>AE7/AC7</f>
        <v>1.2192257907542579</v>
      </c>
      <c r="AL7" s="100">
        <f>AF7/$AF$42</f>
        <v>6.165647724141312E-2</v>
      </c>
      <c r="AM7" s="94">
        <f>AD7-AC7</f>
        <v>450.5</v>
      </c>
      <c r="AN7" s="99">
        <f>AE7-AD7</f>
        <v>9.0000000000145519E-3</v>
      </c>
      <c r="AO7" s="98">
        <f>AE7/AD7</f>
        <v>1.0000035920973858</v>
      </c>
      <c r="AP7" s="93">
        <v>2055</v>
      </c>
      <c r="AQ7" s="93">
        <v>2133.3000000000002</v>
      </c>
      <c r="AR7" s="93"/>
      <c r="AS7" s="93">
        <v>2010.5</v>
      </c>
      <c r="AT7" s="93">
        <v>2536.9</v>
      </c>
      <c r="AU7" s="94">
        <f>AT7-AP7</f>
        <v>481.90000000000009</v>
      </c>
      <c r="AV7" s="94">
        <f>AT7/AP7*100</f>
        <v>123.45012165450122</v>
      </c>
      <c r="AW7" s="94">
        <v>2536.9</v>
      </c>
      <c r="AX7" s="94">
        <f>AW7-AT7</f>
        <v>0</v>
      </c>
      <c r="AY7" s="94">
        <v>2536.9</v>
      </c>
      <c r="AZ7" s="94">
        <f>AT7-AY7</f>
        <v>0</v>
      </c>
      <c r="BA7" s="94">
        <f>AY7/AT7*100</f>
        <v>100</v>
      </c>
      <c r="BB7" s="94">
        <f>AY7/AW7*100</f>
        <v>100</v>
      </c>
      <c r="BC7" s="94">
        <f>AY7/AP7*100</f>
        <v>123.45012165450122</v>
      </c>
      <c r="BD7" s="97">
        <f>AY7/AF7*100</f>
        <v>101.25291956760864</v>
      </c>
      <c r="BE7" s="93">
        <v>2055</v>
      </c>
      <c r="BF7" s="94">
        <f>BE7/AP7*100</f>
        <v>100</v>
      </c>
      <c r="BG7" s="94">
        <f>BE7-AT7</f>
        <v>-481.90000000000009</v>
      </c>
      <c r="BH7" s="93">
        <v>2055</v>
      </c>
      <c r="BI7" s="93">
        <v>2055</v>
      </c>
      <c r="BJ7" s="96">
        <f>BE7/$BE$42*100</f>
        <v>7.7440798299694009</v>
      </c>
      <c r="BK7" s="96">
        <f>BH7/$BH$42*100</f>
        <v>8.1366159596455532</v>
      </c>
      <c r="BL7" s="96">
        <f>BI7/$BI$42*100</f>
        <v>7.4816236033392434</v>
      </c>
      <c r="BM7" s="94">
        <v>2055</v>
      </c>
      <c r="BN7" s="94">
        <v>2205</v>
      </c>
      <c r="BO7" s="94">
        <v>2060.6</v>
      </c>
      <c r="BP7" s="94">
        <v>2205</v>
      </c>
      <c r="BQ7" s="94">
        <v>2810.4</v>
      </c>
      <c r="BR7" s="94">
        <v>2810.4</v>
      </c>
      <c r="BS7" s="94">
        <v>2810.4</v>
      </c>
      <c r="BT7" s="94">
        <v>2810.4</v>
      </c>
      <c r="BU7" s="94">
        <v>2810.4</v>
      </c>
      <c r="BV7" s="94">
        <v>2810.4</v>
      </c>
      <c r="BW7" s="94">
        <v>2810.4</v>
      </c>
      <c r="BX7" s="94">
        <v>2810.4</v>
      </c>
      <c r="BY7" s="94">
        <v>2810.4</v>
      </c>
      <c r="BZ7" s="94">
        <v>2810.4</v>
      </c>
      <c r="CA7" s="94">
        <v>2810.4</v>
      </c>
      <c r="CB7" s="94">
        <v>2810.4</v>
      </c>
      <c r="CC7" s="94">
        <v>2810.4</v>
      </c>
      <c r="CD7" s="94">
        <v>2810.4</v>
      </c>
      <c r="CE7" s="94">
        <v>2810.4</v>
      </c>
      <c r="CF7" s="94">
        <v>2810.4</v>
      </c>
      <c r="CG7" s="94">
        <v>2810.4</v>
      </c>
      <c r="CH7" s="94">
        <v>2810.4</v>
      </c>
      <c r="CI7" s="94">
        <v>2810.4</v>
      </c>
      <c r="CJ7" s="94">
        <v>2810.4</v>
      </c>
      <c r="CK7" s="94">
        <v>2810.4</v>
      </c>
      <c r="CL7" s="94">
        <v>2810.4</v>
      </c>
      <c r="CM7" s="95">
        <v>2800</v>
      </c>
      <c r="CN7" s="95">
        <v>2860</v>
      </c>
      <c r="CO7" s="94">
        <v>2334.6</v>
      </c>
      <c r="CP7" s="94">
        <v>2633.5</v>
      </c>
      <c r="CQ7" s="94">
        <v>2769.83</v>
      </c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>
        <v>2777.5</v>
      </c>
      <c r="DD7" s="94">
        <v>2777.5</v>
      </c>
      <c r="DE7" s="94">
        <v>2860</v>
      </c>
      <c r="DF7" s="94">
        <v>2710</v>
      </c>
      <c r="DG7" s="94">
        <v>2710</v>
      </c>
      <c r="DH7" s="94">
        <v>2860</v>
      </c>
      <c r="DI7" s="94">
        <v>2860</v>
      </c>
      <c r="DJ7" s="94">
        <v>2860</v>
      </c>
      <c r="DK7" s="94">
        <f>DG7/$DG$42*100</f>
        <v>6.4272077221359192</v>
      </c>
      <c r="DL7" s="94">
        <f>DH7/$DH$42*100</f>
        <v>9.3127454364291165</v>
      </c>
      <c r="DM7" s="94">
        <f>DI7/$DI$42*100</f>
        <v>9.5195933868782721</v>
      </c>
      <c r="DN7" s="94">
        <f>DJ7/$DJ$42*100</f>
        <v>9.5157925557222853</v>
      </c>
      <c r="DO7" s="94">
        <f>DH7-DG7</f>
        <v>150</v>
      </c>
      <c r="DP7" s="94">
        <f>DH7/DG7*100-100</f>
        <v>5.5350553505534918</v>
      </c>
      <c r="DQ7" s="94">
        <v>2909.72</v>
      </c>
      <c r="DR7" s="94">
        <v>2909.7</v>
      </c>
      <c r="DS7" s="94">
        <v>2909.7</v>
      </c>
      <c r="DT7" s="94">
        <v>2860</v>
      </c>
      <c r="DU7" s="94">
        <v>3647.12</v>
      </c>
      <c r="DV7" s="94">
        <v>3647.12</v>
      </c>
      <c r="DW7" s="94">
        <v>2495.4499999999998</v>
      </c>
      <c r="DX7" s="94">
        <v>3647.1</v>
      </c>
      <c r="DY7" s="94">
        <v>3155</v>
      </c>
      <c r="DZ7" s="94">
        <v>3155</v>
      </c>
      <c r="EA7" s="94">
        <v>3155</v>
      </c>
      <c r="EB7" s="93">
        <v>3705</v>
      </c>
      <c r="EC7" s="93">
        <v>3705</v>
      </c>
      <c r="ED7" s="93">
        <v>3705</v>
      </c>
      <c r="EE7" s="92">
        <f>EC7-EB7</f>
        <v>0</v>
      </c>
      <c r="EF7" s="92">
        <f>EC7/EB7*100</f>
        <v>100</v>
      </c>
      <c r="EG7" s="92">
        <f>EC7-ED7</f>
        <v>0</v>
      </c>
      <c r="EH7" s="92">
        <f>ED7/EC7*100</f>
        <v>100</v>
      </c>
      <c r="EI7" s="92">
        <f>ED7/DT7*100</f>
        <v>129.54545454545453</v>
      </c>
      <c r="EJ7" s="92">
        <f>ED7/EB7*100</f>
        <v>100</v>
      </c>
      <c r="EK7" s="92">
        <f>ED7/DS7*100</f>
        <v>127.33271471285701</v>
      </c>
      <c r="EL7" s="92">
        <f>EB7-DT7</f>
        <v>845</v>
      </c>
      <c r="EM7" s="92">
        <f>EB7/DT7*100</f>
        <v>129.54545454545453</v>
      </c>
      <c r="EN7" s="67"/>
    </row>
    <row r="8" spans="1:144" ht="21.75" customHeight="1" x14ac:dyDescent="0.2">
      <c r="A8" s="138" t="s">
        <v>293</v>
      </c>
      <c r="B8" s="115" t="s">
        <v>241</v>
      </c>
      <c r="C8" s="115" t="s">
        <v>248</v>
      </c>
      <c r="D8" s="111">
        <f>2876.049+4.7+557.962+76.46+2.729+45.437+115.162+49.768+536.74</f>
        <v>4265.0069999999996</v>
      </c>
      <c r="E8" s="107" t="s">
        <v>292</v>
      </c>
      <c r="F8" s="94">
        <v>4348.43</v>
      </c>
      <c r="G8" s="94">
        <f>F8-E8</f>
        <v>458.73000000000047</v>
      </c>
      <c r="H8" s="106">
        <f>F8/E8</f>
        <v>1.1179345450805975</v>
      </c>
      <c r="I8" s="94">
        <v>4348.433</v>
      </c>
      <c r="J8" s="83">
        <f>I8-F8</f>
        <v>2.9999999997016857E-3</v>
      </c>
      <c r="K8" s="94">
        <f>2795.472+744.118+12.3+81.656+15.985+9.16+7.909+37.083+54.999+566.584+19.799</f>
        <v>4345.0650000000005</v>
      </c>
      <c r="L8" s="105">
        <f>K8/E8*100</f>
        <v>111.70694398025556</v>
      </c>
      <c r="M8" s="105">
        <f>K8/F8*100</f>
        <v>99.922615748672513</v>
      </c>
      <c r="N8" s="105">
        <f>K8/$K$42*100</f>
        <v>10.497531075609505</v>
      </c>
      <c r="O8" s="105">
        <f>K8-F8</f>
        <v>-3.3649999999997817</v>
      </c>
      <c r="P8" s="105">
        <f>K8/D8*100</f>
        <v>101.87708953349903</v>
      </c>
      <c r="Q8" s="114">
        <v>3893.1</v>
      </c>
      <c r="R8" s="102">
        <v>3893.1</v>
      </c>
      <c r="S8" s="100">
        <f>R8/Q8</f>
        <v>1</v>
      </c>
      <c r="T8" s="102">
        <v>3938.3</v>
      </c>
      <c r="U8" s="100">
        <f>T8/R8</f>
        <v>1.0116102848629627</v>
      </c>
      <c r="V8" s="94">
        <f>T8-R8</f>
        <v>45.200000000000273</v>
      </c>
      <c r="W8" s="102">
        <v>3938.3</v>
      </c>
      <c r="X8" s="102">
        <v>3938.3</v>
      </c>
      <c r="Y8" s="104">
        <f>T8/$T$42</f>
        <v>0.13024469453695223</v>
      </c>
      <c r="Z8" s="104">
        <f>W8/$W$42</f>
        <v>0.15160894185943558</v>
      </c>
      <c r="AA8" s="104">
        <f>X8/$X$42</f>
        <v>0.14403478807871936</v>
      </c>
      <c r="AB8" s="103">
        <f>U8-100%</f>
        <v>1.1610284862962672E-2</v>
      </c>
      <c r="AC8" s="102">
        <v>3889.7</v>
      </c>
      <c r="AD8" s="102">
        <v>3803.2</v>
      </c>
      <c r="AE8" s="101">
        <v>3803.154</v>
      </c>
      <c r="AF8" s="101">
        <f>2366.976+738.931+8.6+6.889+8.2+83.658+13.99+4.381+22.944+34.819+4.277+473.737+35.749</f>
        <v>3803.1509999999994</v>
      </c>
      <c r="AG8" s="100">
        <f>AF8/AE8</f>
        <v>0.99999921118103541</v>
      </c>
      <c r="AH8" s="94">
        <f>AE8-AF8</f>
        <v>3.0000000006111804E-3</v>
      </c>
      <c r="AI8" s="100">
        <f>AF8/AC8</f>
        <v>0.97774918374167663</v>
      </c>
      <c r="AJ8" s="100">
        <f>AF8/AD8</f>
        <v>0.99998711611274704</v>
      </c>
      <c r="AK8" s="100">
        <f>AE8/AC8</f>
        <v>0.97774995500938378</v>
      </c>
      <c r="AL8" s="100">
        <f>AF8/$AF$42</f>
        <v>9.3589361150376513E-2</v>
      </c>
      <c r="AM8" s="94">
        <f>AD8-AC8</f>
        <v>-86.5</v>
      </c>
      <c r="AN8" s="99">
        <f>AE8-AD8</f>
        <v>-4.5999999999821739E-2</v>
      </c>
      <c r="AO8" s="98">
        <f>AE8/AD8</f>
        <v>0.99998790492217082</v>
      </c>
      <c r="AP8" s="93">
        <v>3938.3</v>
      </c>
      <c r="AQ8" s="93">
        <v>3860</v>
      </c>
      <c r="AR8" s="93"/>
      <c r="AS8" s="93">
        <v>3060.6</v>
      </c>
      <c r="AT8" s="93">
        <v>3771.4</v>
      </c>
      <c r="AU8" s="94">
        <f>AT8-AP8</f>
        <v>-166.90000000000009</v>
      </c>
      <c r="AV8" s="94">
        <f>AT8/AP8*100</f>
        <v>95.76213086864891</v>
      </c>
      <c r="AW8" s="94">
        <v>3771.4</v>
      </c>
      <c r="AX8" s="94">
        <f>AW8-AT8</f>
        <v>0</v>
      </c>
      <c r="AY8" s="94">
        <v>3771.4</v>
      </c>
      <c r="AZ8" s="94">
        <f>AT8-AY8</f>
        <v>0</v>
      </c>
      <c r="BA8" s="94">
        <f>AY8/AT8*100</f>
        <v>100</v>
      </c>
      <c r="BB8" s="94">
        <f>AY8/AW8*100</f>
        <v>100</v>
      </c>
      <c r="BC8" s="94">
        <f>AY8/AP8*100</f>
        <v>95.76213086864891</v>
      </c>
      <c r="BD8" s="97">
        <f>AY8/AF8*100</f>
        <v>99.165139643416751</v>
      </c>
      <c r="BE8" s="93">
        <v>3938.3</v>
      </c>
      <c r="BF8" s="94">
        <f>BE8/AP8*100</f>
        <v>100</v>
      </c>
      <c r="BG8" s="94">
        <f>BE8-AT8</f>
        <v>166.90000000000009</v>
      </c>
      <c r="BH8" s="93">
        <v>3938.3</v>
      </c>
      <c r="BI8" s="93">
        <v>3938.3</v>
      </c>
      <c r="BJ8" s="96">
        <f>BE8/$BE$42*100</f>
        <v>14.841123890203647</v>
      </c>
      <c r="BK8" s="96">
        <f>BH8/$BH$42*100</f>
        <v>15.593398848599554</v>
      </c>
      <c r="BL8" s="96">
        <f>BI8/$BI$42*100</f>
        <v>14.338140261328927</v>
      </c>
      <c r="BM8" s="94">
        <v>3938.3</v>
      </c>
      <c r="BN8" s="94">
        <v>3812.6</v>
      </c>
      <c r="BO8" s="94">
        <v>3117.8</v>
      </c>
      <c r="BP8" s="94">
        <v>3812.6</v>
      </c>
      <c r="BQ8" s="94">
        <v>4076.2</v>
      </c>
      <c r="BR8" s="94">
        <v>4076.2</v>
      </c>
      <c r="BS8" s="94">
        <v>4076.2</v>
      </c>
      <c r="BT8" s="94">
        <v>4076.2</v>
      </c>
      <c r="BU8" s="94">
        <v>4076.2</v>
      </c>
      <c r="BV8" s="94">
        <v>4076.2</v>
      </c>
      <c r="BW8" s="94">
        <v>4076.2</v>
      </c>
      <c r="BX8" s="94">
        <v>4076.2</v>
      </c>
      <c r="BY8" s="94">
        <v>4076.2</v>
      </c>
      <c r="BZ8" s="94">
        <v>4076.2</v>
      </c>
      <c r="CA8" s="94">
        <v>4076.2</v>
      </c>
      <c r="CB8" s="94">
        <v>4076.2</v>
      </c>
      <c r="CC8" s="94">
        <v>4076.2</v>
      </c>
      <c r="CD8" s="94">
        <v>4076.2</v>
      </c>
      <c r="CE8" s="94">
        <v>4076.2</v>
      </c>
      <c r="CF8" s="94">
        <v>4076.2</v>
      </c>
      <c r="CG8" s="94">
        <v>4076.2</v>
      </c>
      <c r="CH8" s="94">
        <v>4076.2</v>
      </c>
      <c r="CI8" s="94">
        <v>4076.2</v>
      </c>
      <c r="CJ8" s="94">
        <v>4076.2</v>
      </c>
      <c r="CK8" s="94">
        <v>4076.2</v>
      </c>
      <c r="CL8" s="94">
        <v>4076.2</v>
      </c>
      <c r="CM8" s="95">
        <v>3820.3</v>
      </c>
      <c r="CN8" s="95">
        <v>3760.3</v>
      </c>
      <c r="CO8" s="94">
        <v>3408.5</v>
      </c>
      <c r="CP8" s="94">
        <v>3986.7</v>
      </c>
      <c r="CQ8" s="94">
        <v>4196.6899999999996</v>
      </c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>
        <v>4184.2</v>
      </c>
      <c r="DD8" s="94">
        <v>4184.2</v>
      </c>
      <c r="DE8" s="94">
        <v>3809.8</v>
      </c>
      <c r="DF8" s="94">
        <v>3809.8</v>
      </c>
      <c r="DG8" s="94">
        <v>3809.8</v>
      </c>
      <c r="DH8" s="94">
        <v>3809.8</v>
      </c>
      <c r="DI8" s="94">
        <v>3809.8</v>
      </c>
      <c r="DJ8" s="94">
        <v>3809.8</v>
      </c>
      <c r="DK8" s="94">
        <f>DG8/$DG$42*100</f>
        <v>9.0355630921746961</v>
      </c>
      <c r="DL8" s="94">
        <f>DH8/$DH$42*100</f>
        <v>12.405488658639038</v>
      </c>
      <c r="DM8" s="94">
        <f>DI8/$DI$42*100</f>
        <v>12.681030379485611</v>
      </c>
      <c r="DN8" s="94">
        <f>DJ8/$DJ$42*100</f>
        <v>12.675967300276492</v>
      </c>
      <c r="DO8" s="94">
        <f>DH8-DG8</f>
        <v>0</v>
      </c>
      <c r="DP8" s="94">
        <f>DH8/DG8*100-100</f>
        <v>0</v>
      </c>
      <c r="DQ8" s="94">
        <v>4451.1000000000004</v>
      </c>
      <c r="DR8" s="94">
        <v>4451.1000000000004</v>
      </c>
      <c r="DS8" s="94">
        <v>4451.1000000000004</v>
      </c>
      <c r="DT8" s="94">
        <v>3809.8</v>
      </c>
      <c r="DU8" s="94">
        <v>4565.6499999999996</v>
      </c>
      <c r="DV8" s="94">
        <v>4537.47</v>
      </c>
      <c r="DW8" s="94">
        <v>3589.74</v>
      </c>
      <c r="DX8" s="94">
        <v>4565.7</v>
      </c>
      <c r="DY8" s="94">
        <v>4059</v>
      </c>
      <c r="DZ8" s="94">
        <v>4059</v>
      </c>
      <c r="EA8" s="94">
        <v>4059</v>
      </c>
      <c r="EB8" s="93">
        <v>4746.2</v>
      </c>
      <c r="EC8" s="93">
        <v>4746.2</v>
      </c>
      <c r="ED8" s="93">
        <v>4746.2</v>
      </c>
      <c r="EE8" s="92">
        <f>EC8-EB8</f>
        <v>0</v>
      </c>
      <c r="EF8" s="92">
        <f>EC8/EB8*100</f>
        <v>100</v>
      </c>
      <c r="EG8" s="92">
        <f>EC8-ED8</f>
        <v>0</v>
      </c>
      <c r="EH8" s="92">
        <f>ED8/EC8*100</f>
        <v>100</v>
      </c>
      <c r="EI8" s="92">
        <f>ED8/DT8*100</f>
        <v>124.57871804294187</v>
      </c>
      <c r="EJ8" s="92">
        <f>ED8/EB8*100</f>
        <v>100</v>
      </c>
      <c r="EK8" s="92">
        <f>ED8/DS8*100</f>
        <v>106.62982184179191</v>
      </c>
      <c r="EL8" s="92">
        <f>EB8-DT8</f>
        <v>936.39999999999964</v>
      </c>
      <c r="EM8" s="92">
        <f>EB8/DT8*100</f>
        <v>124.57871804294187</v>
      </c>
      <c r="EN8" s="67"/>
    </row>
    <row r="9" spans="1:144" ht="23.25" customHeight="1" x14ac:dyDescent="0.2">
      <c r="A9" s="138" t="s">
        <v>291</v>
      </c>
      <c r="B9" s="115" t="s">
        <v>241</v>
      </c>
      <c r="C9" s="115" t="s">
        <v>256</v>
      </c>
      <c r="D9" s="111"/>
      <c r="E9" s="107"/>
      <c r="F9" s="94"/>
      <c r="G9" s="94"/>
      <c r="H9" s="106"/>
      <c r="I9" s="94"/>
      <c r="J9" s="83"/>
      <c r="K9" s="94"/>
      <c r="L9" s="105"/>
      <c r="M9" s="105"/>
      <c r="N9" s="105"/>
      <c r="O9" s="105"/>
      <c r="P9" s="105"/>
      <c r="Q9" s="114">
        <v>432</v>
      </c>
      <c r="R9" s="102">
        <v>432</v>
      </c>
      <c r="S9" s="100">
        <f>R9/Q9</f>
        <v>1</v>
      </c>
      <c r="T9" s="102">
        <v>0</v>
      </c>
      <c r="U9" s="100">
        <f>T9/R9</f>
        <v>0</v>
      </c>
      <c r="V9" s="94">
        <f>T9-R9</f>
        <v>-432</v>
      </c>
      <c r="W9" s="102">
        <v>0</v>
      </c>
      <c r="X9" s="102">
        <v>0</v>
      </c>
      <c r="Y9" s="104">
        <f>T9/$T$42</f>
        <v>0</v>
      </c>
      <c r="Z9" s="104">
        <f>W9/$W$42</f>
        <v>0</v>
      </c>
      <c r="AA9" s="104">
        <f>X9/$X$42</f>
        <v>0</v>
      </c>
      <c r="AB9" s="103">
        <f>U9-100%</f>
        <v>-1</v>
      </c>
      <c r="AC9" s="102">
        <v>432</v>
      </c>
      <c r="AD9" s="102">
        <v>432</v>
      </c>
      <c r="AE9" s="101">
        <v>432</v>
      </c>
      <c r="AF9" s="101">
        <v>432</v>
      </c>
      <c r="AG9" s="100">
        <f>AF9/AE9</f>
        <v>1</v>
      </c>
      <c r="AH9" s="94">
        <f>AE9-AF9</f>
        <v>0</v>
      </c>
      <c r="AI9" s="100">
        <f>AF9/AC9</f>
        <v>1</v>
      </c>
      <c r="AJ9" s="100">
        <f>AF9/AD9</f>
        <v>1</v>
      </c>
      <c r="AK9" s="100">
        <f>AE9/AC9</f>
        <v>1</v>
      </c>
      <c r="AL9" s="100">
        <f>AF9/$AF$42</f>
        <v>1.0630817450309665E-2</v>
      </c>
      <c r="AM9" s="94">
        <f>AD9-AC9</f>
        <v>0</v>
      </c>
      <c r="AN9" s="99">
        <f>AE9-AD9</f>
        <v>0</v>
      </c>
      <c r="AO9" s="98">
        <f>AE9/AD9</f>
        <v>1</v>
      </c>
      <c r="AP9" s="93">
        <v>0</v>
      </c>
      <c r="AQ9" s="93">
        <v>0</v>
      </c>
      <c r="AR9" s="93"/>
      <c r="AS9" s="93">
        <v>0</v>
      </c>
      <c r="AT9" s="93">
        <v>0</v>
      </c>
      <c r="AU9" s="94">
        <f>AT9-AP9</f>
        <v>0</v>
      </c>
      <c r="AV9" s="94">
        <v>0</v>
      </c>
      <c r="AW9" s="94">
        <v>0</v>
      </c>
      <c r="AX9" s="94">
        <v>0</v>
      </c>
      <c r="AY9" s="94"/>
      <c r="AZ9" s="94">
        <f>AT9-AY9</f>
        <v>0</v>
      </c>
      <c r="BA9" s="94">
        <v>0</v>
      </c>
      <c r="BB9" s="94">
        <v>0</v>
      </c>
      <c r="BC9" s="94">
        <v>0</v>
      </c>
      <c r="BD9" s="97">
        <f>AY9/AF9*100</f>
        <v>0</v>
      </c>
      <c r="BE9" s="93">
        <v>0</v>
      </c>
      <c r="BF9" s="94">
        <v>0</v>
      </c>
      <c r="BG9" s="94">
        <f>BE9-AT9</f>
        <v>0</v>
      </c>
      <c r="BH9" s="93">
        <v>0</v>
      </c>
      <c r="BI9" s="93">
        <v>0</v>
      </c>
      <c r="BJ9" s="96">
        <f>BE9/$BE$42*100</f>
        <v>0</v>
      </c>
      <c r="BK9" s="96">
        <f>BH9/$BH$42*100</f>
        <v>0</v>
      </c>
      <c r="BL9" s="96">
        <f>BI9/$BI$42*100</f>
        <v>0</v>
      </c>
      <c r="BM9" s="94">
        <v>0</v>
      </c>
      <c r="BN9" s="94">
        <v>0</v>
      </c>
      <c r="BO9" s="94">
        <v>0</v>
      </c>
      <c r="BP9" s="94">
        <v>0</v>
      </c>
      <c r="BQ9" s="94">
        <v>0</v>
      </c>
      <c r="BR9" s="94">
        <v>0</v>
      </c>
      <c r="BS9" s="94">
        <v>0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5">
        <v>0</v>
      </c>
      <c r="CN9" s="95">
        <v>0</v>
      </c>
      <c r="CO9" s="94"/>
      <c r="CP9" s="94">
        <v>0</v>
      </c>
      <c r="CQ9" s="94">
        <v>0</v>
      </c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>
        <v>0</v>
      </c>
      <c r="DD9" s="94">
        <v>0</v>
      </c>
      <c r="DE9" s="94">
        <v>0</v>
      </c>
      <c r="DF9" s="94">
        <v>0</v>
      </c>
      <c r="DG9" s="94">
        <v>0</v>
      </c>
      <c r="DH9" s="94">
        <v>529.1</v>
      </c>
      <c r="DI9" s="94">
        <v>0</v>
      </c>
      <c r="DJ9" s="94">
        <v>0</v>
      </c>
      <c r="DK9" s="94">
        <f>DG9/$DG$42*100</f>
        <v>0</v>
      </c>
      <c r="DL9" s="94">
        <f>DH9/$DH$42*100</f>
        <v>1.7228579057393865</v>
      </c>
      <c r="DM9" s="94">
        <f>DI9/$DI$42*100</f>
        <v>0</v>
      </c>
      <c r="DN9" s="94">
        <f>DJ9/$DJ$42*100</f>
        <v>0</v>
      </c>
      <c r="DO9" s="94">
        <f>DH9-DG9</f>
        <v>529.1</v>
      </c>
      <c r="DP9" s="94" t="e">
        <f>DH9/DG9*100-100</f>
        <v>#DIV/0!</v>
      </c>
      <c r="DQ9" s="94"/>
      <c r="DR9" s="94"/>
      <c r="DS9" s="94"/>
      <c r="DT9" s="94">
        <v>529.1</v>
      </c>
      <c r="DU9" s="94">
        <v>529.1</v>
      </c>
      <c r="DV9" s="94">
        <v>529.1</v>
      </c>
      <c r="DW9" s="94">
        <v>529.1</v>
      </c>
      <c r="DX9" s="94">
        <v>529.1</v>
      </c>
      <c r="DY9" s="94"/>
      <c r="DZ9" s="94"/>
      <c r="EA9" s="94"/>
      <c r="EB9" s="93">
        <v>529.1</v>
      </c>
      <c r="EC9" s="93">
        <v>529.1</v>
      </c>
      <c r="ED9" s="93">
        <v>529.1</v>
      </c>
      <c r="EE9" s="92">
        <f>EC9-EB9</f>
        <v>0</v>
      </c>
      <c r="EF9" s="92">
        <f>EC9/EB9*100</f>
        <v>100</v>
      </c>
      <c r="EG9" s="92">
        <f>EC9-ED9</f>
        <v>0</v>
      </c>
      <c r="EH9" s="92">
        <f>ED9/EC9*100</f>
        <v>100</v>
      </c>
      <c r="EI9" s="92">
        <f>ED9/DT9*100</f>
        <v>100</v>
      </c>
      <c r="EJ9" s="92">
        <f>ED9/EB9*100</f>
        <v>100</v>
      </c>
      <c r="EK9" s="92">
        <v>100</v>
      </c>
      <c r="EL9" s="92">
        <f>EB9-DT9</f>
        <v>0</v>
      </c>
      <c r="EM9" s="92">
        <f>EB9/DT9*100</f>
        <v>100</v>
      </c>
      <c r="EN9" s="67"/>
    </row>
    <row r="10" spans="1:144" ht="12" customHeight="1" x14ac:dyDescent="0.2">
      <c r="A10" s="138" t="s">
        <v>290</v>
      </c>
      <c r="B10" s="115" t="s">
        <v>241</v>
      </c>
      <c r="C10" s="115" t="s">
        <v>238</v>
      </c>
      <c r="D10" s="108"/>
      <c r="E10" s="107" t="s">
        <v>289</v>
      </c>
      <c r="F10" s="94">
        <v>64</v>
      </c>
      <c r="G10" s="94">
        <f>F10-E10</f>
        <v>0</v>
      </c>
      <c r="H10" s="106">
        <v>0</v>
      </c>
      <c r="I10" s="94">
        <v>64</v>
      </c>
      <c r="J10" s="83">
        <f>I10-F10</f>
        <v>0</v>
      </c>
      <c r="K10" s="94">
        <v>0</v>
      </c>
      <c r="L10" s="105">
        <f>K10/E10*100</f>
        <v>0</v>
      </c>
      <c r="M10" s="105">
        <f>K10/F10*100</f>
        <v>0</v>
      </c>
      <c r="N10" s="105">
        <f>K10/$K$42*100</f>
        <v>0</v>
      </c>
      <c r="O10" s="105">
        <f>K10-F10</f>
        <v>-64</v>
      </c>
      <c r="P10" s="105">
        <v>0</v>
      </c>
      <c r="Q10" s="114">
        <v>64</v>
      </c>
      <c r="R10" s="102">
        <v>64</v>
      </c>
      <c r="S10" s="100">
        <f>R10/Q10</f>
        <v>1</v>
      </c>
      <c r="T10" s="102">
        <v>64</v>
      </c>
      <c r="U10" s="100">
        <f>T10/R10</f>
        <v>1</v>
      </c>
      <c r="V10" s="94">
        <f>T10-R10</f>
        <v>0</v>
      </c>
      <c r="W10" s="102">
        <v>64</v>
      </c>
      <c r="X10" s="102">
        <v>64</v>
      </c>
      <c r="Y10" s="104">
        <f>T10/$T$42</f>
        <v>2.116563098383806E-3</v>
      </c>
      <c r="Z10" s="104">
        <f>W10/$W$42</f>
        <v>2.4637463573125148E-3</v>
      </c>
      <c r="AA10" s="104">
        <f>X10/$X$42</f>
        <v>2.340661309965731E-3</v>
      </c>
      <c r="AB10" s="103">
        <f>U10-100%</f>
        <v>0</v>
      </c>
      <c r="AC10" s="102">
        <v>64</v>
      </c>
      <c r="AD10" s="102">
        <v>0</v>
      </c>
      <c r="AE10" s="101">
        <v>0</v>
      </c>
      <c r="AF10" s="101">
        <v>0</v>
      </c>
      <c r="AG10" s="100">
        <v>0</v>
      </c>
      <c r="AH10" s="94">
        <f>AE10-AF10</f>
        <v>0</v>
      </c>
      <c r="AI10" s="100">
        <f>AF10/AC10</f>
        <v>0</v>
      </c>
      <c r="AJ10" s="100">
        <v>0</v>
      </c>
      <c r="AK10" s="100">
        <f>AE10/AC10</f>
        <v>0</v>
      </c>
      <c r="AL10" s="100">
        <f>AF10/$AF$42</f>
        <v>0</v>
      </c>
      <c r="AM10" s="94">
        <f>AD10-AC10</f>
        <v>-64</v>
      </c>
      <c r="AN10" s="99">
        <f>AE10-AD10</f>
        <v>0</v>
      </c>
      <c r="AO10" s="98" t="e">
        <f>AE10/AD10</f>
        <v>#DIV/0!</v>
      </c>
      <c r="AP10" s="93">
        <v>64</v>
      </c>
      <c r="AQ10" s="93">
        <v>64</v>
      </c>
      <c r="AR10" s="93"/>
      <c r="AS10" s="93">
        <v>0</v>
      </c>
      <c r="AT10" s="93">
        <v>0</v>
      </c>
      <c r="AU10" s="94">
        <f>AT10-AP10</f>
        <v>-64</v>
      </c>
      <c r="AV10" s="94">
        <f>AT10/AP10*100</f>
        <v>0</v>
      </c>
      <c r="AW10" s="94">
        <v>0</v>
      </c>
      <c r="AX10" s="94">
        <f>AW10-AT10</f>
        <v>0</v>
      </c>
      <c r="AY10" s="94">
        <v>0</v>
      </c>
      <c r="AZ10" s="94">
        <f>AT10-AY10</f>
        <v>0</v>
      </c>
      <c r="BA10" s="94">
        <v>0</v>
      </c>
      <c r="BB10" s="94">
        <v>0</v>
      </c>
      <c r="BC10" s="94">
        <f>AY10/AP10*100</f>
        <v>0</v>
      </c>
      <c r="BD10" s="97">
        <v>0</v>
      </c>
      <c r="BE10" s="93">
        <v>64</v>
      </c>
      <c r="BF10" s="94">
        <f>BE10/AP10*100</f>
        <v>100</v>
      </c>
      <c r="BG10" s="94">
        <f>BE10-AT10</f>
        <v>64</v>
      </c>
      <c r="BH10" s="93">
        <v>64</v>
      </c>
      <c r="BI10" s="93">
        <v>64</v>
      </c>
      <c r="BJ10" s="96">
        <f>BE10/$BE$42*100</f>
        <v>0.24117815528858477</v>
      </c>
      <c r="BK10" s="96">
        <f>BH10/$BH$42*100</f>
        <v>0.25340312477728244</v>
      </c>
      <c r="BL10" s="96">
        <f>BI10/$BI$42*100</f>
        <v>0.23300433606506646</v>
      </c>
      <c r="BM10" s="94">
        <v>64</v>
      </c>
      <c r="BN10" s="94">
        <v>64</v>
      </c>
      <c r="BO10" s="94">
        <v>0</v>
      </c>
      <c r="BP10" s="94">
        <v>64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5">
        <v>64</v>
      </c>
      <c r="CN10" s="95">
        <v>64</v>
      </c>
      <c r="CO10" s="94"/>
      <c r="CP10" s="94">
        <v>64</v>
      </c>
      <c r="CQ10" s="94">
        <v>0</v>
      </c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>
        <v>0</v>
      </c>
      <c r="DD10" s="94">
        <v>0</v>
      </c>
      <c r="DE10" s="94">
        <v>64</v>
      </c>
      <c r="DF10" s="94">
        <v>64</v>
      </c>
      <c r="DG10" s="94">
        <v>64</v>
      </c>
      <c r="DH10" s="94">
        <v>64</v>
      </c>
      <c r="DI10" s="94">
        <v>64</v>
      </c>
      <c r="DJ10" s="94">
        <v>64</v>
      </c>
      <c r="DK10" s="94">
        <f>DG10/$DG$42*100</f>
        <v>0.15178645543051617</v>
      </c>
      <c r="DL10" s="94">
        <f>DH10/$DH$42*100</f>
        <v>0.20839710067533687</v>
      </c>
      <c r="DM10" s="94">
        <f>DI10/$DI$42*100</f>
        <v>0.21302586600007323</v>
      </c>
      <c r="DN10" s="94">
        <f>DJ10/$DJ$42*100</f>
        <v>0.21294081243574348</v>
      </c>
      <c r="DO10" s="94">
        <f>DH10-DG10</f>
        <v>0</v>
      </c>
      <c r="DP10" s="94">
        <f>DH10/DG10*100-100</f>
        <v>0</v>
      </c>
      <c r="DQ10" s="94">
        <v>0</v>
      </c>
      <c r="DR10" s="94"/>
      <c r="DS10" s="94"/>
      <c r="DT10" s="94">
        <v>64</v>
      </c>
      <c r="DU10" s="94">
        <v>64</v>
      </c>
      <c r="DV10" s="94">
        <v>64</v>
      </c>
      <c r="DW10" s="94">
        <v>0</v>
      </c>
      <c r="DX10" s="94"/>
      <c r="DY10" s="94">
        <v>64</v>
      </c>
      <c r="DZ10" s="94">
        <v>64</v>
      </c>
      <c r="EA10" s="94">
        <v>64</v>
      </c>
      <c r="EB10" s="93">
        <v>0</v>
      </c>
      <c r="EC10" s="93">
        <v>0</v>
      </c>
      <c r="ED10" s="93">
        <v>0</v>
      </c>
      <c r="EE10" s="92">
        <f>EC10-EB10</f>
        <v>0</v>
      </c>
      <c r="EF10" s="92">
        <v>0</v>
      </c>
      <c r="EG10" s="92">
        <f>EC10-ED10</f>
        <v>0</v>
      </c>
      <c r="EH10" s="92">
        <v>0</v>
      </c>
      <c r="EI10" s="92">
        <f>ED10/DT10*100</f>
        <v>0</v>
      </c>
      <c r="EJ10" s="92">
        <v>0</v>
      </c>
      <c r="EK10" s="92">
        <v>0</v>
      </c>
      <c r="EL10" s="92">
        <f>EB10-DT10</f>
        <v>-64</v>
      </c>
      <c r="EM10" s="92">
        <f>EB10/DT10*100</f>
        <v>0</v>
      </c>
      <c r="EN10" s="67"/>
    </row>
    <row r="11" spans="1:144" ht="22.5" customHeight="1" x14ac:dyDescent="0.2">
      <c r="A11" s="138" t="s">
        <v>288</v>
      </c>
      <c r="B11" s="115" t="s">
        <v>241</v>
      </c>
      <c r="C11" s="115" t="s">
        <v>287</v>
      </c>
      <c r="D11" s="111">
        <f>14.928+5.072+149.565+81.901+69.692+42.075+482.841+1172.492</f>
        <v>2018.566</v>
      </c>
      <c r="E11" s="107" t="s">
        <v>286</v>
      </c>
      <c r="F11" s="94">
        <v>3524.09</v>
      </c>
      <c r="G11" s="94">
        <f>F11-E11</f>
        <v>766.09000000000015</v>
      </c>
      <c r="H11" s="106">
        <f>F11/E11</f>
        <v>1.2777701232777376</v>
      </c>
      <c r="I11" s="94">
        <v>3524.0889999999999</v>
      </c>
      <c r="J11" s="83">
        <f>I11-F11</f>
        <v>-1.0000000002037268E-3</v>
      </c>
      <c r="K11" s="94">
        <f>845.358+51+130.058+363.165+22.846+602.572+1130.495+228.9</f>
        <v>3374.3939999999998</v>
      </c>
      <c r="L11" s="105">
        <f>K11/E11*100</f>
        <v>122.34931109499637</v>
      </c>
      <c r="M11" s="105">
        <f>K11/F11*100</f>
        <v>95.752208371522855</v>
      </c>
      <c r="N11" s="105">
        <f>K11/$K$42*100</f>
        <v>8.1524225474993486</v>
      </c>
      <c r="O11" s="105">
        <f>K11-F11</f>
        <v>-149.69600000000037</v>
      </c>
      <c r="P11" s="105">
        <f>K11/D11*100</f>
        <v>167.16788056471771</v>
      </c>
      <c r="Q11" s="114">
        <v>2763.3</v>
      </c>
      <c r="R11" s="102">
        <v>2763.3</v>
      </c>
      <c r="S11" s="100">
        <f>R11/Q11</f>
        <v>1</v>
      </c>
      <c r="T11" s="102">
        <v>2686</v>
      </c>
      <c r="U11" s="100">
        <f>T11/R11</f>
        <v>0.9720262005573046</v>
      </c>
      <c r="V11" s="94">
        <f>T11-R11</f>
        <v>-77.300000000000182</v>
      </c>
      <c r="W11" s="102">
        <v>3303</v>
      </c>
      <c r="X11" s="102">
        <v>3938</v>
      </c>
      <c r="Y11" s="104">
        <f>T11/$T$42</f>
        <v>8.8829507535295352E-2</v>
      </c>
      <c r="Z11" s="104">
        <f>W11/$W$42</f>
        <v>0.12715240965942556</v>
      </c>
      <c r="AA11" s="104">
        <f>X11/$X$42</f>
        <v>0.1440238162288289</v>
      </c>
      <c r="AB11" s="103">
        <f>U11-100%</f>
        <v>-2.7973799442695402E-2</v>
      </c>
      <c r="AC11" s="102">
        <v>2686</v>
      </c>
      <c r="AD11" s="102">
        <v>2314.8000000000002</v>
      </c>
      <c r="AE11" s="101">
        <v>2314.8519999999999</v>
      </c>
      <c r="AF11" s="101">
        <f>55.465+99+155.171+289.481+37.491+427.184+1251.059</f>
        <v>2314.8509999999997</v>
      </c>
      <c r="AG11" s="100">
        <f>AF11/AE11</f>
        <v>0.99999956800693945</v>
      </c>
      <c r="AH11" s="94">
        <f>AE11-AF11</f>
        <v>1.0000000002037268E-3</v>
      </c>
      <c r="AI11" s="100">
        <f>AF11/AC11</f>
        <v>0.86182092330603111</v>
      </c>
      <c r="AJ11" s="100">
        <f>AF11/AD11</f>
        <v>1.0000220321410054</v>
      </c>
      <c r="AK11" s="100">
        <f>AE11/AC11</f>
        <v>0.86182129560685028</v>
      </c>
      <c r="AL11" s="100">
        <f>AF11/$AF$42</f>
        <v>5.6964718531636059E-2</v>
      </c>
      <c r="AM11" s="94">
        <f>AD11-AC11</f>
        <v>-371.19999999999982</v>
      </c>
      <c r="AN11" s="99">
        <f>AE11-AD11</f>
        <v>5.1999999999679858E-2</v>
      </c>
      <c r="AO11" s="98">
        <f>AE11/AD11</f>
        <v>1.0000224641437703</v>
      </c>
      <c r="AP11" s="93">
        <v>2686</v>
      </c>
      <c r="AQ11" s="93">
        <v>2686</v>
      </c>
      <c r="AR11" s="93"/>
      <c r="AS11" s="93">
        <v>1600.2</v>
      </c>
      <c r="AT11" s="93">
        <v>2686</v>
      </c>
      <c r="AU11" s="94">
        <f>AT11-AP11</f>
        <v>0</v>
      </c>
      <c r="AV11" s="94">
        <f>AT11/AP11*100</f>
        <v>100</v>
      </c>
      <c r="AW11" s="94">
        <v>2686</v>
      </c>
      <c r="AX11" s="94">
        <f>AW11-AT11</f>
        <v>0</v>
      </c>
      <c r="AY11" s="94">
        <v>2686</v>
      </c>
      <c r="AZ11" s="94">
        <f>AT11-AY11</f>
        <v>0</v>
      </c>
      <c r="BA11" s="94">
        <f>AY11/AT11*100</f>
        <v>100</v>
      </c>
      <c r="BB11" s="94">
        <f>AY11/AW11*100</f>
        <v>100</v>
      </c>
      <c r="BC11" s="94">
        <f>AY11/AP11*100</f>
        <v>100</v>
      </c>
      <c r="BD11" s="97">
        <f>AY11/AF11*100</f>
        <v>116.03338616610748</v>
      </c>
      <c r="BE11" s="93">
        <v>2914.2</v>
      </c>
      <c r="BF11" s="94">
        <f>BE11/AP11*100</f>
        <v>108.4959046909903</v>
      </c>
      <c r="BG11" s="94">
        <f>BE11-AT11</f>
        <v>228.19999999999982</v>
      </c>
      <c r="BH11" s="93">
        <v>3353</v>
      </c>
      <c r="BI11" s="93">
        <v>3997</v>
      </c>
      <c r="BJ11" s="96">
        <f>BE11/$BE$42*100</f>
        <v>10.98189656471865</v>
      </c>
      <c r="BK11" s="96">
        <f>BH11/$BH$42*100</f>
        <v>13.275948084034814</v>
      </c>
      <c r="BL11" s="96">
        <f>BI11/$BI$42*100</f>
        <v>14.551848925813605</v>
      </c>
      <c r="BM11" s="94">
        <v>2914.2</v>
      </c>
      <c r="BN11" s="94">
        <v>3656.2</v>
      </c>
      <c r="BO11" s="94">
        <v>2414</v>
      </c>
      <c r="BP11" s="94">
        <v>3656.2</v>
      </c>
      <c r="BQ11" s="94">
        <v>3278.8</v>
      </c>
      <c r="BR11" s="94">
        <v>3278.8</v>
      </c>
      <c r="BS11" s="94">
        <v>3278.8</v>
      </c>
      <c r="BT11" s="94">
        <v>3278.8</v>
      </c>
      <c r="BU11" s="94">
        <v>3278.8</v>
      </c>
      <c r="BV11" s="94">
        <v>3278.8</v>
      </c>
      <c r="BW11" s="94">
        <v>3278.8</v>
      </c>
      <c r="BX11" s="94">
        <v>3278.8</v>
      </c>
      <c r="BY11" s="94">
        <v>3278.8</v>
      </c>
      <c r="BZ11" s="94">
        <v>3278.8</v>
      </c>
      <c r="CA11" s="94">
        <v>3278.8</v>
      </c>
      <c r="CB11" s="94">
        <v>3278.8</v>
      </c>
      <c r="CC11" s="94">
        <v>3278.8</v>
      </c>
      <c r="CD11" s="94">
        <v>3278.8</v>
      </c>
      <c r="CE11" s="94">
        <v>3278.8</v>
      </c>
      <c r="CF11" s="94">
        <v>3278.8</v>
      </c>
      <c r="CG11" s="94">
        <v>3278.8</v>
      </c>
      <c r="CH11" s="94">
        <v>3278.8</v>
      </c>
      <c r="CI11" s="94">
        <v>3278.8</v>
      </c>
      <c r="CJ11" s="94">
        <v>3278.8</v>
      </c>
      <c r="CK11" s="94">
        <v>3278.8</v>
      </c>
      <c r="CL11" s="94">
        <v>3278.8</v>
      </c>
      <c r="CM11" s="95">
        <v>3384.5</v>
      </c>
      <c r="CN11" s="95">
        <v>4140.5</v>
      </c>
      <c r="CO11" s="94">
        <v>2573.1</v>
      </c>
      <c r="CP11" s="94">
        <v>4140.5</v>
      </c>
      <c r="CQ11" s="94">
        <v>4393.6099999999997</v>
      </c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>
        <v>4489.3</v>
      </c>
      <c r="DD11" s="94">
        <v>3907.2</v>
      </c>
      <c r="DE11" s="94">
        <v>3087.4</v>
      </c>
      <c r="DF11" s="94">
        <v>3459.37</v>
      </c>
      <c r="DG11" s="94">
        <v>3459.4</v>
      </c>
      <c r="DH11" s="94">
        <v>3247.8</v>
      </c>
      <c r="DI11" s="94">
        <v>3744.4</v>
      </c>
      <c r="DJ11" s="94">
        <v>4472.3999999999996</v>
      </c>
      <c r="DK11" s="94">
        <f>DG11/$DG$42*100</f>
        <v>8.2045322486926189</v>
      </c>
      <c r="DL11" s="94">
        <f>DH11/$DH$42*100</f>
        <v>10.575501618333737</v>
      </c>
      <c r="DM11" s="94">
        <f>DI11/$DI$42*100</f>
        <v>12.463344572666784</v>
      </c>
      <c r="DN11" s="94">
        <f>DJ11/$DJ$42*100</f>
        <v>14.880570149025296</v>
      </c>
      <c r="DO11" s="94">
        <f>DH11-DG11</f>
        <v>-211.59999999999991</v>
      </c>
      <c r="DP11" s="94">
        <f>DH11/DG11*100-100</f>
        <v>-6.1166676302248959</v>
      </c>
      <c r="DQ11" s="94">
        <v>3682.16</v>
      </c>
      <c r="DR11" s="94">
        <v>3682.2</v>
      </c>
      <c r="DS11" s="94">
        <v>3660.6</v>
      </c>
      <c r="DT11" s="94">
        <v>3247.8</v>
      </c>
      <c r="DU11" s="94">
        <v>4559.88</v>
      </c>
      <c r="DV11" s="94">
        <v>4559.88</v>
      </c>
      <c r="DW11" s="94">
        <v>3637.56</v>
      </c>
      <c r="DX11" s="94">
        <v>4559.8999999999996</v>
      </c>
      <c r="DY11" s="94">
        <v>3387.7</v>
      </c>
      <c r="DZ11" s="94">
        <v>3966.3</v>
      </c>
      <c r="EA11" s="94">
        <v>4742.3999999999996</v>
      </c>
      <c r="EB11" s="93">
        <v>4638.8999999999996</v>
      </c>
      <c r="EC11" s="93">
        <v>4638.8999999999996</v>
      </c>
      <c r="ED11" s="93">
        <v>4638.8999999999996</v>
      </c>
      <c r="EE11" s="92">
        <f>EC11-EB11</f>
        <v>0</v>
      </c>
      <c r="EF11" s="92">
        <f>EC11/EB11*100</f>
        <v>100</v>
      </c>
      <c r="EG11" s="92">
        <f>EC11-ED11</f>
        <v>0</v>
      </c>
      <c r="EH11" s="92">
        <f>ED11/EC11*100</f>
        <v>100</v>
      </c>
      <c r="EI11" s="92">
        <f>ED11/DT11*100</f>
        <v>142.8320709403288</v>
      </c>
      <c r="EJ11" s="92">
        <f>ED11/EB11*100</f>
        <v>100</v>
      </c>
      <c r="EK11" s="92">
        <f>ED11/DS11*100</f>
        <v>126.72512702835601</v>
      </c>
      <c r="EL11" s="92">
        <f>EB11-DT11</f>
        <v>1391.0999999999995</v>
      </c>
      <c r="EM11" s="92">
        <f>EB11/DT11*100</f>
        <v>142.8320709403288</v>
      </c>
      <c r="EN11" s="67"/>
    </row>
    <row r="12" spans="1:144" s="85" customFormat="1" ht="14.25" customHeight="1" x14ac:dyDescent="0.2">
      <c r="A12" s="91" t="s">
        <v>285</v>
      </c>
      <c r="B12" s="133" t="s">
        <v>237</v>
      </c>
      <c r="C12" s="133"/>
      <c r="D12" s="135">
        <f>D13</f>
        <v>244.39900000000003</v>
      </c>
      <c r="E12" s="83" t="str">
        <f>E13</f>
        <v>212,9</v>
      </c>
      <c r="F12" s="83">
        <f>F13</f>
        <v>212.9</v>
      </c>
      <c r="G12" s="83">
        <f>F12-E12</f>
        <v>0</v>
      </c>
      <c r="H12" s="88">
        <f>F12/E12</f>
        <v>1</v>
      </c>
      <c r="I12" s="83">
        <f>I13</f>
        <v>212.9</v>
      </c>
      <c r="J12" s="83">
        <f>I12-F12</f>
        <v>0</v>
      </c>
      <c r="K12" s="83">
        <f>K13</f>
        <v>212.9</v>
      </c>
      <c r="L12" s="83">
        <f>L13</f>
        <v>100</v>
      </c>
      <c r="M12" s="83">
        <f>M13</f>
        <v>100</v>
      </c>
      <c r="N12" s="83">
        <f>N13</f>
        <v>0.51435924801982558</v>
      </c>
      <c r="O12" s="83">
        <f>O13</f>
        <v>0</v>
      </c>
      <c r="P12" s="83">
        <f>P13</f>
        <v>87.111649393000775</v>
      </c>
      <c r="Q12" s="83">
        <f>Q13</f>
        <v>144</v>
      </c>
      <c r="R12" s="83">
        <f>R13</f>
        <v>144</v>
      </c>
      <c r="S12" s="83">
        <f>S13</f>
        <v>1</v>
      </c>
      <c r="T12" s="83">
        <f>T13</f>
        <v>164</v>
      </c>
      <c r="U12" s="83">
        <f>U13</f>
        <v>1.1388888888888888</v>
      </c>
      <c r="V12" s="83">
        <f>V13</f>
        <v>20</v>
      </c>
      <c r="W12" s="83">
        <f>W13</f>
        <v>168</v>
      </c>
      <c r="X12" s="83">
        <f>X13</f>
        <v>168</v>
      </c>
      <c r="Y12" s="83">
        <f>Y13</f>
        <v>5.4236929396085029E-3</v>
      </c>
      <c r="Z12" s="83">
        <f>Z13</f>
        <v>6.4673341879453511E-3</v>
      </c>
      <c r="AA12" s="83">
        <f>AA13</f>
        <v>6.1442359386600443E-3</v>
      </c>
      <c r="AB12" s="83">
        <f>AB13</f>
        <v>0.13888888888888884</v>
      </c>
      <c r="AC12" s="83">
        <f>AC13</f>
        <v>144</v>
      </c>
      <c r="AD12" s="83">
        <f>AD13</f>
        <v>144</v>
      </c>
      <c r="AE12" s="79">
        <f>AE13</f>
        <v>144</v>
      </c>
      <c r="AF12" s="79">
        <f>AF13</f>
        <v>144</v>
      </c>
      <c r="AG12" s="79">
        <f>AG13</f>
        <v>1</v>
      </c>
      <c r="AH12" s="79">
        <f>AH13</f>
        <v>0</v>
      </c>
      <c r="AI12" s="79">
        <f>AI13</f>
        <v>1</v>
      </c>
      <c r="AJ12" s="79">
        <f>AJ13</f>
        <v>1</v>
      </c>
      <c r="AK12" s="79">
        <f>AK13</f>
        <v>1</v>
      </c>
      <c r="AL12" s="79">
        <f>AL13</f>
        <v>3.5436058167698887E-3</v>
      </c>
      <c r="AM12" s="79">
        <f>AM13</f>
        <v>0</v>
      </c>
      <c r="AN12" s="79">
        <f>AN13</f>
        <v>0</v>
      </c>
      <c r="AO12" s="164">
        <f>AO13</f>
        <v>1</v>
      </c>
      <c r="AP12" s="79">
        <f>AP13</f>
        <v>164</v>
      </c>
      <c r="AQ12" s="79">
        <f>AQ13</f>
        <v>164</v>
      </c>
      <c r="AR12" s="79">
        <f>AR13</f>
        <v>0</v>
      </c>
      <c r="AS12" s="79">
        <f>AS13</f>
        <v>105.2</v>
      </c>
      <c r="AT12" s="79">
        <f>AT13</f>
        <v>164</v>
      </c>
      <c r="AU12" s="83">
        <f>AT12-AP12</f>
        <v>0</v>
      </c>
      <c r="AV12" s="83">
        <f>AT12/AP12*100</f>
        <v>100</v>
      </c>
      <c r="AW12" s="79">
        <f>AW13</f>
        <v>164</v>
      </c>
      <c r="AX12" s="83">
        <f>AW12-AT12</f>
        <v>0</v>
      </c>
      <c r="AY12" s="79">
        <f>AY13</f>
        <v>164</v>
      </c>
      <c r="AZ12" s="79">
        <f>AZ13</f>
        <v>0</v>
      </c>
      <c r="BA12" s="79">
        <f>BA13</f>
        <v>100</v>
      </c>
      <c r="BB12" s="79">
        <f>BB13</f>
        <v>100</v>
      </c>
      <c r="BC12" s="79">
        <f>BC13</f>
        <v>100</v>
      </c>
      <c r="BD12" s="79">
        <f>BD13</f>
        <v>113.88888888888889</v>
      </c>
      <c r="BE12" s="79">
        <f>BE13</f>
        <v>168</v>
      </c>
      <c r="BF12" s="79">
        <f>BF13</f>
        <v>102.4390243902439</v>
      </c>
      <c r="BG12" s="79">
        <f>BG13</f>
        <v>4</v>
      </c>
      <c r="BH12" s="79">
        <f>BH13</f>
        <v>168</v>
      </c>
      <c r="BI12" s="79">
        <f>BI13</f>
        <v>168</v>
      </c>
      <c r="BJ12" s="79">
        <f>BJ13</f>
        <v>0.63309265763253497</v>
      </c>
      <c r="BK12" s="79">
        <f>BK13</f>
        <v>0.66518320254036645</v>
      </c>
      <c r="BL12" s="79">
        <f>BL13</f>
        <v>0.61163638217079952</v>
      </c>
      <c r="BM12" s="79">
        <f>BM13</f>
        <v>168</v>
      </c>
      <c r="BN12" s="79">
        <f>BN13</f>
        <v>151.19999999999999</v>
      </c>
      <c r="BO12" s="79">
        <f>BO13</f>
        <v>118.3</v>
      </c>
      <c r="BP12" s="79">
        <f>BP13</f>
        <v>151.19999999999999</v>
      </c>
      <c r="BQ12" s="79">
        <f>BQ13</f>
        <v>151.19999999999999</v>
      </c>
      <c r="BR12" s="79">
        <f>BR13</f>
        <v>151.19999999999999</v>
      </c>
      <c r="BS12" s="79">
        <f>BS13</f>
        <v>151.19999999999999</v>
      </c>
      <c r="BT12" s="79">
        <f>BT13</f>
        <v>152.19999999999999</v>
      </c>
      <c r="BU12" s="79">
        <f>BU13</f>
        <v>153.19999999999999</v>
      </c>
      <c r="BV12" s="79">
        <f>BV13</f>
        <v>154.19999999999999</v>
      </c>
      <c r="BW12" s="79">
        <f>BW13</f>
        <v>155.19999999999999</v>
      </c>
      <c r="BX12" s="79">
        <f>BX13</f>
        <v>156.19999999999999</v>
      </c>
      <c r="BY12" s="79">
        <f>BY13</f>
        <v>157.19999999999999</v>
      </c>
      <c r="BZ12" s="79">
        <f>BZ13</f>
        <v>158.19999999999999</v>
      </c>
      <c r="CA12" s="79">
        <f>CA13</f>
        <v>159.19999999999999</v>
      </c>
      <c r="CB12" s="79">
        <f>CB13</f>
        <v>160.19999999999999</v>
      </c>
      <c r="CC12" s="79">
        <f>CC13</f>
        <v>161.19999999999999</v>
      </c>
      <c r="CD12" s="79">
        <f>CD13</f>
        <v>162.19999999999999</v>
      </c>
      <c r="CE12" s="79">
        <f>CE13</f>
        <v>163.19999999999999</v>
      </c>
      <c r="CF12" s="79">
        <f>CF13</f>
        <v>164.2</v>
      </c>
      <c r="CG12" s="79">
        <f>CG13</f>
        <v>165.2</v>
      </c>
      <c r="CH12" s="79">
        <f>CH13</f>
        <v>166.2</v>
      </c>
      <c r="CI12" s="79">
        <f>CI13</f>
        <v>167.2</v>
      </c>
      <c r="CJ12" s="79">
        <f>CJ13</f>
        <v>168.2</v>
      </c>
      <c r="CK12" s="79">
        <f>CK13</f>
        <v>169.2</v>
      </c>
      <c r="CL12" s="79">
        <f>CL13</f>
        <v>170.2</v>
      </c>
      <c r="CM12" s="87">
        <f>CM13</f>
        <v>168</v>
      </c>
      <c r="CN12" s="87">
        <f>CN13</f>
        <v>168</v>
      </c>
      <c r="CO12" s="79">
        <f>CO13</f>
        <v>135.19999999999999</v>
      </c>
      <c r="CP12" s="79">
        <f>CP13</f>
        <v>168</v>
      </c>
      <c r="CQ12" s="79">
        <f>CQ13</f>
        <v>168</v>
      </c>
      <c r="CR12" s="79">
        <f>CR13</f>
        <v>0</v>
      </c>
      <c r="CS12" s="79">
        <f>CS13</f>
        <v>0</v>
      </c>
      <c r="CT12" s="79">
        <f>CT13</f>
        <v>0</v>
      </c>
      <c r="CU12" s="79">
        <f>CU13</f>
        <v>0</v>
      </c>
      <c r="CV12" s="79">
        <f>CV13</f>
        <v>0</v>
      </c>
      <c r="CW12" s="79">
        <f>CW13</f>
        <v>0</v>
      </c>
      <c r="CX12" s="79">
        <f>CX13</f>
        <v>0</v>
      </c>
      <c r="CY12" s="79">
        <f>CY13</f>
        <v>0</v>
      </c>
      <c r="CZ12" s="79">
        <f>CZ13</f>
        <v>0</v>
      </c>
      <c r="DA12" s="79">
        <f>DA13</f>
        <v>0</v>
      </c>
      <c r="DB12" s="79">
        <f>DB13</f>
        <v>0</v>
      </c>
      <c r="DC12" s="79">
        <f>DC13</f>
        <v>168</v>
      </c>
      <c r="DD12" s="79">
        <f>DD13</f>
        <v>168</v>
      </c>
      <c r="DE12" s="79">
        <f>DE13</f>
        <v>189.2</v>
      </c>
      <c r="DF12" s="79">
        <f>DF13</f>
        <v>100</v>
      </c>
      <c r="DG12" s="79">
        <f>DG13</f>
        <v>100</v>
      </c>
      <c r="DH12" s="79">
        <f>DH13</f>
        <v>210.1</v>
      </c>
      <c r="DI12" s="79">
        <f>DI13</f>
        <v>214</v>
      </c>
      <c r="DJ12" s="79">
        <f>DJ13</f>
        <v>227.3</v>
      </c>
      <c r="DK12" s="79">
        <f>DK13</f>
        <v>0.23716633661018149</v>
      </c>
      <c r="DL12" s="79">
        <f>DL13</f>
        <v>0.68412860706075429</v>
      </c>
      <c r="DM12" s="79">
        <f>DM13</f>
        <v>0.71230523943774482</v>
      </c>
      <c r="DN12" s="79">
        <f>DN13</f>
        <v>0.75627260416632014</v>
      </c>
      <c r="DO12" s="79">
        <f>DO13</f>
        <v>110.1</v>
      </c>
      <c r="DP12" s="79">
        <f>DP13</f>
        <v>110.1</v>
      </c>
      <c r="DQ12" s="79">
        <f>DQ13</f>
        <v>100</v>
      </c>
      <c r="DR12" s="79">
        <f>DR13</f>
        <v>100</v>
      </c>
      <c r="DS12" s="79">
        <f>DS13</f>
        <v>100</v>
      </c>
      <c r="DT12" s="79">
        <f>DT13</f>
        <v>210.1</v>
      </c>
      <c r="DU12" s="79">
        <f>DU13</f>
        <v>210.1</v>
      </c>
      <c r="DV12" s="79">
        <f>DV13</f>
        <v>210.1</v>
      </c>
      <c r="DW12" s="79">
        <f>DW13</f>
        <v>184.77</v>
      </c>
      <c r="DX12" s="79">
        <f>DX13</f>
        <v>210.1</v>
      </c>
      <c r="DY12" s="79">
        <f>DY13</f>
        <v>217.8</v>
      </c>
      <c r="DZ12" s="79">
        <f>DZ13</f>
        <v>215.1</v>
      </c>
      <c r="EA12" s="79">
        <f>EA13</f>
        <v>222.5</v>
      </c>
      <c r="EB12" s="79">
        <f>EB13</f>
        <v>210.1</v>
      </c>
      <c r="EC12" s="79">
        <f>EC13</f>
        <v>210.1</v>
      </c>
      <c r="ED12" s="79">
        <f>ED13</f>
        <v>210.1</v>
      </c>
      <c r="EE12" s="86">
        <f>EC12-EB12</f>
        <v>0</v>
      </c>
      <c r="EF12" s="86">
        <f>EC12/EB12*100</f>
        <v>100</v>
      </c>
      <c r="EG12" s="86">
        <f>EC12-ED12</f>
        <v>0</v>
      </c>
      <c r="EH12" s="86">
        <f>ED12/EC12*100</f>
        <v>100</v>
      </c>
      <c r="EI12" s="86">
        <f>ED12/DT12*100</f>
        <v>100</v>
      </c>
      <c r="EJ12" s="86">
        <f>ED12/EB12*100</f>
        <v>100</v>
      </c>
      <c r="EK12" s="86">
        <f>ED12/DS12*100</f>
        <v>210.1</v>
      </c>
      <c r="EL12" s="86">
        <f>EB12-DT12</f>
        <v>0</v>
      </c>
      <c r="EM12" s="86">
        <f>EB12/DT12*100</f>
        <v>100</v>
      </c>
      <c r="EN12" s="67"/>
    </row>
    <row r="13" spans="1:144" ht="24.75" customHeight="1" x14ac:dyDescent="0.2">
      <c r="A13" s="138" t="s">
        <v>284</v>
      </c>
      <c r="B13" s="115" t="s">
        <v>237</v>
      </c>
      <c r="C13" s="115" t="s">
        <v>234</v>
      </c>
      <c r="D13" s="108">
        <f>182.938+0.4+54.801+0.81+1.05+4.4</f>
        <v>244.39900000000003</v>
      </c>
      <c r="E13" s="107" t="s">
        <v>283</v>
      </c>
      <c r="F13" s="94">
        <v>212.9</v>
      </c>
      <c r="G13" s="94">
        <f>F13-E13</f>
        <v>0</v>
      </c>
      <c r="H13" s="106">
        <f>F13/E13</f>
        <v>1</v>
      </c>
      <c r="I13" s="94">
        <v>212.9</v>
      </c>
      <c r="J13" s="83">
        <f>I13-F13</f>
        <v>0</v>
      </c>
      <c r="K13" s="94">
        <f>163+49.9</f>
        <v>212.9</v>
      </c>
      <c r="L13" s="105">
        <f>K13/E13*100</f>
        <v>100</v>
      </c>
      <c r="M13" s="105">
        <f>K13/F13*100</f>
        <v>100</v>
      </c>
      <c r="N13" s="105">
        <f>K13/$K$42*100</f>
        <v>0.51435924801982558</v>
      </c>
      <c r="O13" s="105">
        <f>K13-F13</f>
        <v>0</v>
      </c>
      <c r="P13" s="105">
        <f>K13/D13*100</f>
        <v>87.111649393000775</v>
      </c>
      <c r="Q13" s="114">
        <v>144</v>
      </c>
      <c r="R13" s="102">
        <v>144</v>
      </c>
      <c r="S13" s="100">
        <f>R13/Q13</f>
        <v>1</v>
      </c>
      <c r="T13" s="102">
        <v>164</v>
      </c>
      <c r="U13" s="100">
        <f>T13/R13</f>
        <v>1.1388888888888888</v>
      </c>
      <c r="V13" s="94">
        <f>T13-R13</f>
        <v>20</v>
      </c>
      <c r="W13" s="102">
        <v>168</v>
      </c>
      <c r="X13" s="102">
        <v>168</v>
      </c>
      <c r="Y13" s="104">
        <f>T13/$T$42</f>
        <v>5.4236929396085029E-3</v>
      </c>
      <c r="Z13" s="104">
        <f>W13/$W$42</f>
        <v>6.4673341879453511E-3</v>
      </c>
      <c r="AA13" s="104">
        <f>X13/$X$42</f>
        <v>6.1442359386600443E-3</v>
      </c>
      <c r="AB13" s="103">
        <f>U13-100%</f>
        <v>0.13888888888888884</v>
      </c>
      <c r="AC13" s="102">
        <v>144</v>
      </c>
      <c r="AD13" s="102">
        <v>144</v>
      </c>
      <c r="AE13" s="101">
        <v>144</v>
      </c>
      <c r="AF13" s="101">
        <f>112.491+31.509</f>
        <v>144</v>
      </c>
      <c r="AG13" s="100">
        <f>AF13/AE13</f>
        <v>1</v>
      </c>
      <c r="AH13" s="94">
        <f>AE13-AF13</f>
        <v>0</v>
      </c>
      <c r="AI13" s="100">
        <f>AF13/AC13</f>
        <v>1</v>
      </c>
      <c r="AJ13" s="100">
        <f>AF13/AD13</f>
        <v>1</v>
      </c>
      <c r="AK13" s="100">
        <f>AE13/AC13</f>
        <v>1</v>
      </c>
      <c r="AL13" s="100">
        <f>AF13/$AF$42</f>
        <v>3.5436058167698887E-3</v>
      </c>
      <c r="AM13" s="94">
        <f>AD13-AC13</f>
        <v>0</v>
      </c>
      <c r="AN13" s="99">
        <f>AE13-AD13</f>
        <v>0</v>
      </c>
      <c r="AO13" s="98">
        <f>AE13/AD13</f>
        <v>1</v>
      </c>
      <c r="AP13" s="93">
        <v>164</v>
      </c>
      <c r="AQ13" s="93">
        <v>164</v>
      </c>
      <c r="AR13" s="93"/>
      <c r="AS13" s="93">
        <v>105.2</v>
      </c>
      <c r="AT13" s="93">
        <v>164</v>
      </c>
      <c r="AU13" s="94">
        <f>AT13-AP13</f>
        <v>0</v>
      </c>
      <c r="AV13" s="94">
        <f>AT13/AP13*100</f>
        <v>100</v>
      </c>
      <c r="AW13" s="94">
        <v>164</v>
      </c>
      <c r="AX13" s="94">
        <f>AW13-AT13</f>
        <v>0</v>
      </c>
      <c r="AY13" s="94">
        <v>164</v>
      </c>
      <c r="AZ13" s="94">
        <f>AT13-AY13</f>
        <v>0</v>
      </c>
      <c r="BA13" s="94">
        <f>AY13/AT13*100</f>
        <v>100</v>
      </c>
      <c r="BB13" s="94">
        <f>AY13/AW13*100</f>
        <v>100</v>
      </c>
      <c r="BC13" s="94">
        <f>AY13/AP13*100</f>
        <v>100</v>
      </c>
      <c r="BD13" s="97">
        <f>AY13/AF13*100</f>
        <v>113.88888888888889</v>
      </c>
      <c r="BE13" s="93">
        <v>168</v>
      </c>
      <c r="BF13" s="94">
        <f>BE13/AP13*100</f>
        <v>102.4390243902439</v>
      </c>
      <c r="BG13" s="94">
        <f>BE13-AT13</f>
        <v>4</v>
      </c>
      <c r="BH13" s="93">
        <v>168</v>
      </c>
      <c r="BI13" s="93">
        <v>168</v>
      </c>
      <c r="BJ13" s="96">
        <f>BE13/$BE$42*100</f>
        <v>0.63309265763253497</v>
      </c>
      <c r="BK13" s="96">
        <f>BH13/$BH$42*100</f>
        <v>0.66518320254036645</v>
      </c>
      <c r="BL13" s="96">
        <f>BI13/$BI$42*100</f>
        <v>0.61163638217079952</v>
      </c>
      <c r="BM13" s="94">
        <v>168</v>
      </c>
      <c r="BN13" s="94">
        <v>151.19999999999999</v>
      </c>
      <c r="BO13" s="94">
        <v>118.3</v>
      </c>
      <c r="BP13" s="94">
        <v>151.19999999999999</v>
      </c>
      <c r="BQ13" s="94">
        <v>151.19999999999999</v>
      </c>
      <c r="BR13" s="94">
        <v>151.19999999999999</v>
      </c>
      <c r="BS13" s="94">
        <v>151.19999999999999</v>
      </c>
      <c r="BT13" s="94">
        <v>152.19999999999999</v>
      </c>
      <c r="BU13" s="94">
        <v>153.19999999999999</v>
      </c>
      <c r="BV13" s="94">
        <v>154.19999999999999</v>
      </c>
      <c r="BW13" s="94">
        <v>155.19999999999999</v>
      </c>
      <c r="BX13" s="94">
        <v>156.19999999999999</v>
      </c>
      <c r="BY13" s="94">
        <v>157.19999999999999</v>
      </c>
      <c r="BZ13" s="94">
        <v>158.19999999999999</v>
      </c>
      <c r="CA13" s="94">
        <v>159.19999999999999</v>
      </c>
      <c r="CB13" s="94">
        <v>160.19999999999999</v>
      </c>
      <c r="CC13" s="94">
        <v>161.19999999999999</v>
      </c>
      <c r="CD13" s="94">
        <v>162.19999999999999</v>
      </c>
      <c r="CE13" s="94">
        <v>163.19999999999999</v>
      </c>
      <c r="CF13" s="94">
        <v>164.2</v>
      </c>
      <c r="CG13" s="94">
        <v>165.2</v>
      </c>
      <c r="CH13" s="94">
        <v>166.2</v>
      </c>
      <c r="CI13" s="94">
        <v>167.2</v>
      </c>
      <c r="CJ13" s="94">
        <v>168.2</v>
      </c>
      <c r="CK13" s="94">
        <v>169.2</v>
      </c>
      <c r="CL13" s="94">
        <v>170.2</v>
      </c>
      <c r="CM13" s="95">
        <v>168</v>
      </c>
      <c r="CN13" s="95">
        <v>168</v>
      </c>
      <c r="CO13" s="94">
        <v>135.19999999999999</v>
      </c>
      <c r="CP13" s="94">
        <v>168</v>
      </c>
      <c r="CQ13" s="94">
        <v>168</v>
      </c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>
        <v>168</v>
      </c>
      <c r="DD13" s="94">
        <v>168</v>
      </c>
      <c r="DE13" s="94">
        <v>189.2</v>
      </c>
      <c r="DF13" s="94">
        <v>100</v>
      </c>
      <c r="DG13" s="94">
        <v>100</v>
      </c>
      <c r="DH13" s="94">
        <v>210.1</v>
      </c>
      <c r="DI13" s="94">
        <v>214</v>
      </c>
      <c r="DJ13" s="94">
        <v>227.3</v>
      </c>
      <c r="DK13" s="94">
        <f>DG13/$DG$42*100</f>
        <v>0.23716633661018149</v>
      </c>
      <c r="DL13" s="94">
        <f>DH13/$DH$42*100</f>
        <v>0.68412860706075429</v>
      </c>
      <c r="DM13" s="94">
        <f>DI13/$DI$42*100</f>
        <v>0.71230523943774482</v>
      </c>
      <c r="DN13" s="94">
        <f>DJ13/$DJ$42*100</f>
        <v>0.75627260416632014</v>
      </c>
      <c r="DO13" s="94">
        <f>DH13-DG13</f>
        <v>110.1</v>
      </c>
      <c r="DP13" s="94">
        <f>DH13/DG13*100-100</f>
        <v>110.1</v>
      </c>
      <c r="DQ13" s="94">
        <v>100</v>
      </c>
      <c r="DR13" s="94">
        <v>100</v>
      </c>
      <c r="DS13" s="94">
        <v>100</v>
      </c>
      <c r="DT13" s="94">
        <v>210.1</v>
      </c>
      <c r="DU13" s="94">
        <v>210.1</v>
      </c>
      <c r="DV13" s="94">
        <v>210.1</v>
      </c>
      <c r="DW13" s="94">
        <v>184.77</v>
      </c>
      <c r="DX13" s="94">
        <v>210.1</v>
      </c>
      <c r="DY13" s="94">
        <v>217.8</v>
      </c>
      <c r="DZ13" s="94">
        <v>215.1</v>
      </c>
      <c r="EA13" s="94">
        <v>222.5</v>
      </c>
      <c r="EB13" s="93">
        <v>210.1</v>
      </c>
      <c r="EC13" s="93">
        <v>210.1</v>
      </c>
      <c r="ED13" s="93">
        <v>210.1</v>
      </c>
      <c r="EE13" s="92">
        <f>EC13-EB13</f>
        <v>0</v>
      </c>
      <c r="EF13" s="92">
        <f>EC13/EB13*100</f>
        <v>100</v>
      </c>
      <c r="EG13" s="92">
        <f>EC13-ED13</f>
        <v>0</v>
      </c>
      <c r="EH13" s="92">
        <f>ED13/EC13*100</f>
        <v>100</v>
      </c>
      <c r="EI13" s="92">
        <f>ED13/DT13*100</f>
        <v>100</v>
      </c>
      <c r="EJ13" s="92">
        <f>ED13/EB13*100</f>
        <v>100</v>
      </c>
      <c r="EK13" s="92">
        <f>ED13/DS13*100</f>
        <v>210.1</v>
      </c>
      <c r="EL13" s="92">
        <f>EB13-DT13</f>
        <v>0</v>
      </c>
      <c r="EM13" s="92">
        <f>EB13/DT13*100</f>
        <v>100</v>
      </c>
      <c r="EN13" s="67"/>
    </row>
    <row r="14" spans="1:144" s="85" customFormat="1" ht="42.75" customHeight="1" x14ac:dyDescent="0.2">
      <c r="A14" s="91" t="s">
        <v>282</v>
      </c>
      <c r="B14" s="133" t="s">
        <v>234</v>
      </c>
      <c r="C14" s="133"/>
      <c r="D14" s="135">
        <f>D16+D15</f>
        <v>139.489</v>
      </c>
      <c r="E14" s="83">
        <f>E16+E15</f>
        <v>251</v>
      </c>
      <c r="F14" s="83">
        <f>F16+F15</f>
        <v>589</v>
      </c>
      <c r="G14" s="83">
        <f>F14-E14</f>
        <v>338</v>
      </c>
      <c r="H14" s="88">
        <f>F14/E14</f>
        <v>2.3466135458167332</v>
      </c>
      <c r="I14" s="83">
        <f>I16+I15</f>
        <v>588.995</v>
      </c>
      <c r="J14" s="83">
        <f>I14-F14</f>
        <v>-4.9999999999954525E-3</v>
      </c>
      <c r="K14" s="83">
        <f>K16+K15</f>
        <v>588.99400000000003</v>
      </c>
      <c r="L14" s="83" t="e">
        <f>L16+L15</f>
        <v>#DIV/0!</v>
      </c>
      <c r="M14" s="83">
        <f>M16+M15</f>
        <v>199.99892857142856</v>
      </c>
      <c r="N14" s="83">
        <f>N16+N15</f>
        <v>1.4229897178402497</v>
      </c>
      <c r="O14" s="83">
        <f>O16+O15</f>
        <v>-5.9999999999718057E-3</v>
      </c>
      <c r="P14" s="83">
        <f>P16+P15</f>
        <v>501.46104710765724</v>
      </c>
      <c r="Q14" s="83">
        <f>Q16+Q15</f>
        <v>880</v>
      </c>
      <c r="R14" s="83">
        <f>R16+R15</f>
        <v>880</v>
      </c>
      <c r="S14" s="83">
        <f>S16+S15</f>
        <v>2</v>
      </c>
      <c r="T14" s="83">
        <f>T16+T15</f>
        <v>288</v>
      </c>
      <c r="U14" s="83">
        <f>U16+U15</f>
        <v>1.5929411764705883</v>
      </c>
      <c r="V14" s="83">
        <f>V16+V15</f>
        <v>-592</v>
      </c>
      <c r="W14" s="83">
        <f>W16+W15</f>
        <v>1288</v>
      </c>
      <c r="X14" s="83">
        <f>X16+X15</f>
        <v>288</v>
      </c>
      <c r="Y14" s="83">
        <f>Y16+Y15</f>
        <v>9.5245339427271255E-3</v>
      </c>
      <c r="Z14" s="83">
        <f>Z16+Z15</f>
        <v>4.9582895440914355E-2</v>
      </c>
      <c r="AA14" s="83">
        <f>AA16+AA15</f>
        <v>1.0532975894845791E-2</v>
      </c>
      <c r="AB14" s="83">
        <f>AB16+AB15</f>
        <v>-0.4070588235294117</v>
      </c>
      <c r="AC14" s="83">
        <f>AC16+AC15</f>
        <v>580</v>
      </c>
      <c r="AD14" s="83">
        <f>AD16+AD15</f>
        <v>980</v>
      </c>
      <c r="AE14" s="79">
        <f>AE16+AE15</f>
        <v>980</v>
      </c>
      <c r="AF14" s="79">
        <f>AF16+AF15</f>
        <v>980</v>
      </c>
      <c r="AG14" s="79">
        <f>AG16+AG15</f>
        <v>2</v>
      </c>
      <c r="AH14" s="79">
        <f>AH16+AH15</f>
        <v>0</v>
      </c>
      <c r="AI14" s="79">
        <f>AI16+AI15</f>
        <v>2.7272727272727275</v>
      </c>
      <c r="AJ14" s="79">
        <f>AJ16+AJ15</f>
        <v>2</v>
      </c>
      <c r="AK14" s="79">
        <f>AK16+AK15</f>
        <v>2.7272727272727275</v>
      </c>
      <c r="AL14" s="79">
        <f>AL16+AL15</f>
        <v>2.4116206253017299E-2</v>
      </c>
      <c r="AM14" s="79">
        <f>AM16+AM15</f>
        <v>400</v>
      </c>
      <c r="AN14" s="79">
        <f>AN16+AN15</f>
        <v>0</v>
      </c>
      <c r="AO14" s="79">
        <f>AO16+AO15</f>
        <v>2</v>
      </c>
      <c r="AP14" s="79">
        <f>AP16+AP15</f>
        <v>288</v>
      </c>
      <c r="AQ14" s="79">
        <f>AQ16+AQ15</f>
        <v>388</v>
      </c>
      <c r="AR14" s="79">
        <f>AR16+AR15</f>
        <v>0</v>
      </c>
      <c r="AS14" s="79">
        <f>AS16+AS15</f>
        <v>197.7</v>
      </c>
      <c r="AT14" s="79">
        <f>AT16+AT15</f>
        <v>563.4</v>
      </c>
      <c r="AU14" s="83">
        <f>AT14-AP14</f>
        <v>275.39999999999998</v>
      </c>
      <c r="AV14" s="83">
        <f>AT14/AP14*100</f>
        <v>195.62499999999997</v>
      </c>
      <c r="AW14" s="79">
        <f>AW16+AW15</f>
        <v>563.4</v>
      </c>
      <c r="AX14" s="83">
        <f>AW14-AT14</f>
        <v>0</v>
      </c>
      <c r="AY14" s="79">
        <f>AY16+AY15</f>
        <v>563.4</v>
      </c>
      <c r="AZ14" s="79">
        <f>AZ16+AZ15</f>
        <v>0</v>
      </c>
      <c r="BA14" s="79">
        <f>BA16+BA15</f>
        <v>200</v>
      </c>
      <c r="BB14" s="79">
        <f>BB16+BB15</f>
        <v>200</v>
      </c>
      <c r="BC14" s="79">
        <f>BC16+BC15</f>
        <v>516.03954278653077</v>
      </c>
      <c r="BD14" s="79">
        <f>BD16+BD15</f>
        <v>491.86666666666667</v>
      </c>
      <c r="BE14" s="79">
        <f>BE16+BE15</f>
        <v>322</v>
      </c>
      <c r="BF14" s="79">
        <f>BF16+BF15</f>
        <v>196.35464936669757</v>
      </c>
      <c r="BG14" s="79">
        <f>BG16+BG15</f>
        <v>-241.39999999999998</v>
      </c>
      <c r="BH14" s="79">
        <f>BH16+BH15</f>
        <v>279</v>
      </c>
      <c r="BI14" s="79">
        <f>BI16+BI15</f>
        <v>279</v>
      </c>
      <c r="BJ14" s="79">
        <f>BJ16+BJ15</f>
        <v>1.213427593795692</v>
      </c>
      <c r="BK14" s="79">
        <f>BK16+BK15</f>
        <v>1.1046792470759657</v>
      </c>
      <c r="BL14" s="79">
        <f>BL16+BL15</f>
        <v>1.0157532775336491</v>
      </c>
      <c r="BM14" s="79">
        <f>BM16+BM15</f>
        <v>322</v>
      </c>
      <c r="BN14" s="79">
        <f>BN16+BN15</f>
        <v>552</v>
      </c>
      <c r="BO14" s="79">
        <f>BO16+BO15</f>
        <v>386.4</v>
      </c>
      <c r="BP14" s="79">
        <f>BP16+BP15</f>
        <v>552</v>
      </c>
      <c r="BQ14" s="79">
        <f>BQ16+BQ15</f>
        <v>653.79999999999995</v>
      </c>
      <c r="BR14" s="79">
        <f>BR16+BR15</f>
        <v>653.79999999999995</v>
      </c>
      <c r="BS14" s="79">
        <f>BS16+BS15</f>
        <v>653.79999999999995</v>
      </c>
      <c r="BT14" s="79">
        <f>BT16+BT15</f>
        <v>653.79999999999995</v>
      </c>
      <c r="BU14" s="79">
        <f>BU16+BU15</f>
        <v>653.79999999999995</v>
      </c>
      <c r="BV14" s="79">
        <f>BV16+BV15</f>
        <v>653.79999999999995</v>
      </c>
      <c r="BW14" s="79">
        <f>BW16+BW15</f>
        <v>653.79999999999995</v>
      </c>
      <c r="BX14" s="79">
        <f>BX16+BX15</f>
        <v>653.79999999999995</v>
      </c>
      <c r="BY14" s="79">
        <f>BY16+BY15</f>
        <v>653.79999999999995</v>
      </c>
      <c r="BZ14" s="79">
        <f>BZ16+BZ15</f>
        <v>653.79999999999995</v>
      </c>
      <c r="CA14" s="79">
        <f>CA16+CA15</f>
        <v>653.79999999999995</v>
      </c>
      <c r="CB14" s="79">
        <f>CB16+CB15</f>
        <v>653.79999999999995</v>
      </c>
      <c r="CC14" s="79">
        <f>CC16+CC15</f>
        <v>653.79999999999995</v>
      </c>
      <c r="CD14" s="79">
        <f>CD16+CD15</f>
        <v>653.79999999999995</v>
      </c>
      <c r="CE14" s="79">
        <f>CE16+CE15</f>
        <v>653.79999999999995</v>
      </c>
      <c r="CF14" s="79">
        <f>CF16+CF15</f>
        <v>653.79999999999995</v>
      </c>
      <c r="CG14" s="79">
        <f>CG16+CG15</f>
        <v>653.79999999999995</v>
      </c>
      <c r="CH14" s="79">
        <f>CH16+CH15</f>
        <v>653.79999999999995</v>
      </c>
      <c r="CI14" s="79">
        <f>CI16+CI15</f>
        <v>653.79999999999995</v>
      </c>
      <c r="CJ14" s="79">
        <f>CJ16+CJ15</f>
        <v>653.79999999999995</v>
      </c>
      <c r="CK14" s="79">
        <f>CK16+CK15</f>
        <v>653.79999999999995</v>
      </c>
      <c r="CL14" s="79">
        <f>CL16+CL15</f>
        <v>653.79999999999995</v>
      </c>
      <c r="CM14" s="87">
        <f>CM16+CM15</f>
        <v>400.1</v>
      </c>
      <c r="CN14" s="87">
        <f>CN16+CN15</f>
        <v>462</v>
      </c>
      <c r="CO14" s="79">
        <f>CO16+CO15</f>
        <v>443.3</v>
      </c>
      <c r="CP14" s="79">
        <f>CP16+CP15</f>
        <v>462</v>
      </c>
      <c r="CQ14" s="79">
        <f>CQ16+CQ15</f>
        <v>462</v>
      </c>
      <c r="CR14" s="79">
        <f>CR16+CR15</f>
        <v>0</v>
      </c>
      <c r="CS14" s="79">
        <f>CS16+CS15</f>
        <v>0</v>
      </c>
      <c r="CT14" s="79">
        <f>CT16+CT15</f>
        <v>0</v>
      </c>
      <c r="CU14" s="79">
        <f>CU16+CU15</f>
        <v>0</v>
      </c>
      <c r="CV14" s="79">
        <f>CV16+CV15</f>
        <v>0</v>
      </c>
      <c r="CW14" s="79">
        <f>CW16+CW15</f>
        <v>0</v>
      </c>
      <c r="CX14" s="79">
        <f>CX16+CX15</f>
        <v>0</v>
      </c>
      <c r="CY14" s="79">
        <f>CY16+CY15</f>
        <v>0</v>
      </c>
      <c r="CZ14" s="79">
        <f>CZ16+CZ15</f>
        <v>0</v>
      </c>
      <c r="DA14" s="79">
        <f>DA16+DA15</f>
        <v>0</v>
      </c>
      <c r="DB14" s="79">
        <f>DB16+DB15</f>
        <v>0</v>
      </c>
      <c r="DC14" s="79">
        <f>DC16+DC15</f>
        <v>462</v>
      </c>
      <c r="DD14" s="79">
        <f>DD16+DD15</f>
        <v>460.2</v>
      </c>
      <c r="DE14" s="79">
        <f>DE16+DE15</f>
        <v>412.1</v>
      </c>
      <c r="DF14" s="79">
        <f>DF16+DF15</f>
        <v>312.10000000000002</v>
      </c>
      <c r="DG14" s="79">
        <f>DG16+DG15</f>
        <v>312.10000000000002</v>
      </c>
      <c r="DH14" s="79">
        <f>DH16+DH15</f>
        <v>237</v>
      </c>
      <c r="DI14" s="79">
        <f>DI16+DI15</f>
        <v>210</v>
      </c>
      <c r="DJ14" s="79">
        <f>DJ16+DJ15</f>
        <v>210</v>
      </c>
      <c r="DK14" s="79">
        <f>DK16+DK15</f>
        <v>0.74019613656037653</v>
      </c>
      <c r="DL14" s="79">
        <f>DL16+DL15</f>
        <v>0.77172051343835679</v>
      </c>
      <c r="DM14" s="79">
        <f>DM16+DM15</f>
        <v>0.69899112281274034</v>
      </c>
      <c r="DN14" s="79">
        <f>DN16+DN15</f>
        <v>0.69871204080478322</v>
      </c>
      <c r="DO14" s="79">
        <f>DO16+DO15</f>
        <v>-75.100000000000023</v>
      </c>
      <c r="DP14" s="79">
        <f>DP16+DP15</f>
        <v>-40.65177615137452</v>
      </c>
      <c r="DQ14" s="79">
        <f>DQ16+DQ15</f>
        <v>254.9</v>
      </c>
      <c r="DR14" s="79">
        <f>DR16+DR15</f>
        <v>254.9</v>
      </c>
      <c r="DS14" s="79">
        <f>DS16+DS15</f>
        <v>254.8</v>
      </c>
      <c r="DT14" s="79">
        <f>DT16+DT15</f>
        <v>237</v>
      </c>
      <c r="DU14" s="79">
        <f>DU16+DU15</f>
        <v>320</v>
      </c>
      <c r="DV14" s="79">
        <f>DV16+DV15</f>
        <v>320</v>
      </c>
      <c r="DW14" s="79">
        <f>DW16+DW15</f>
        <v>54.29</v>
      </c>
      <c r="DX14" s="79">
        <f>DX16+DX15</f>
        <v>320</v>
      </c>
      <c r="DY14" s="79">
        <f>DY16+DY15</f>
        <v>237</v>
      </c>
      <c r="DZ14" s="79">
        <f>DZ16+DZ15</f>
        <v>210</v>
      </c>
      <c r="EA14" s="79">
        <f>EA16+EA15</f>
        <v>210</v>
      </c>
      <c r="EB14" s="79">
        <f>EB16+EB15</f>
        <v>154.69999999999999</v>
      </c>
      <c r="EC14" s="79">
        <f>EC16+EC15</f>
        <v>154.69999999999999</v>
      </c>
      <c r="ED14" s="79">
        <f>ED16+ED15</f>
        <v>154.69999999999999</v>
      </c>
      <c r="EE14" s="86">
        <f>EC14-EB14</f>
        <v>0</v>
      </c>
      <c r="EF14" s="86">
        <f>EC14/EB14*100</f>
        <v>100</v>
      </c>
      <c r="EG14" s="86">
        <f>EC14-ED14</f>
        <v>0</v>
      </c>
      <c r="EH14" s="86">
        <f>ED14/EC14*100</f>
        <v>100</v>
      </c>
      <c r="EI14" s="86">
        <f>ED14/DT14*100</f>
        <v>65.274261603375521</v>
      </c>
      <c r="EJ14" s="86">
        <f>ED14/EB14*100</f>
        <v>100</v>
      </c>
      <c r="EK14" s="86">
        <f>ED14/DS14*100</f>
        <v>60.714285714285708</v>
      </c>
      <c r="EL14" s="86">
        <f>EB14-DT14</f>
        <v>-82.300000000000011</v>
      </c>
      <c r="EM14" s="86">
        <f>EB14/DT14*100</f>
        <v>65.274261603375521</v>
      </c>
      <c r="EN14" s="67"/>
    </row>
    <row r="15" spans="1:144" ht="12.75" customHeight="1" x14ac:dyDescent="0.2">
      <c r="A15" s="163" t="s">
        <v>281</v>
      </c>
      <c r="B15" s="107" t="s">
        <v>234</v>
      </c>
      <c r="C15" s="107" t="s">
        <v>248</v>
      </c>
      <c r="D15" s="108"/>
      <c r="E15" s="107"/>
      <c r="F15" s="94">
        <v>29</v>
      </c>
      <c r="G15" s="94">
        <f>F15-E15</f>
        <v>29</v>
      </c>
      <c r="H15" s="106">
        <v>1</v>
      </c>
      <c r="I15" s="94">
        <v>29</v>
      </c>
      <c r="J15" s="83">
        <f>I15-F15</f>
        <v>0</v>
      </c>
      <c r="K15" s="94">
        <f>22.31+6.69</f>
        <v>29</v>
      </c>
      <c r="L15" s="105" t="e">
        <f>K15/E15*100</f>
        <v>#DIV/0!</v>
      </c>
      <c r="M15" s="105">
        <f>K15/F15*100</f>
        <v>100</v>
      </c>
      <c r="N15" s="105">
        <f>K15/$K$42*100</f>
        <v>7.0063025798848946E-2</v>
      </c>
      <c r="O15" s="105">
        <f>K15-F15</f>
        <v>0</v>
      </c>
      <c r="P15" s="105">
        <v>100</v>
      </c>
      <c r="Q15" s="114">
        <v>30</v>
      </c>
      <c r="R15" s="102">
        <v>30</v>
      </c>
      <c r="S15" s="100">
        <f>R15/Q15</f>
        <v>1</v>
      </c>
      <c r="T15" s="102">
        <v>39</v>
      </c>
      <c r="U15" s="100">
        <f>T15/R15</f>
        <v>1.3</v>
      </c>
      <c r="V15" s="94">
        <f>T15-R15</f>
        <v>9</v>
      </c>
      <c r="W15" s="102">
        <v>39</v>
      </c>
      <c r="X15" s="102">
        <v>39</v>
      </c>
      <c r="Y15" s="104">
        <f>T15/$T$42</f>
        <v>1.2897806380776317E-3</v>
      </c>
      <c r="Z15" s="104">
        <f>W15/$W$42</f>
        <v>1.5013454364873136E-3</v>
      </c>
      <c r="AA15" s="104">
        <f>X15/$X$42</f>
        <v>1.4263404857603674E-3</v>
      </c>
      <c r="AB15" s="103">
        <f>U15-100%</f>
        <v>0.30000000000000004</v>
      </c>
      <c r="AC15" s="102">
        <v>30</v>
      </c>
      <c r="AD15" s="102">
        <v>30</v>
      </c>
      <c r="AE15" s="101">
        <v>30</v>
      </c>
      <c r="AF15" s="101">
        <f>24.736+5.264</f>
        <v>30</v>
      </c>
      <c r="AG15" s="100">
        <f>AF15/AE15</f>
        <v>1</v>
      </c>
      <c r="AH15" s="94">
        <f>AE15-AF15</f>
        <v>0</v>
      </c>
      <c r="AI15" s="100">
        <f>AF15/AC15</f>
        <v>1</v>
      </c>
      <c r="AJ15" s="100">
        <f>AF15/AD15</f>
        <v>1</v>
      </c>
      <c r="AK15" s="100">
        <f>AE15/AC15</f>
        <v>1</v>
      </c>
      <c r="AL15" s="100">
        <f>AF15/$AF$42</f>
        <v>7.3825121182706011E-4</v>
      </c>
      <c r="AM15" s="94">
        <f>AD15-AC15</f>
        <v>0</v>
      </c>
      <c r="AN15" s="99">
        <f>AE15-AD15</f>
        <v>0</v>
      </c>
      <c r="AO15" s="98">
        <f>AE15/AD15</f>
        <v>1</v>
      </c>
      <c r="AP15" s="93">
        <v>39</v>
      </c>
      <c r="AQ15" s="93">
        <v>39</v>
      </c>
      <c r="AR15" s="93"/>
      <c r="AS15" s="93">
        <v>21.2</v>
      </c>
      <c r="AT15" s="93">
        <v>134</v>
      </c>
      <c r="AU15" s="94">
        <f>AT15-AP15</f>
        <v>95</v>
      </c>
      <c r="AV15" s="94">
        <f>AT15/AP15*100</f>
        <v>343.58974358974359</v>
      </c>
      <c r="AW15" s="94">
        <v>134</v>
      </c>
      <c r="AX15" s="94">
        <f>AW15-AT15</f>
        <v>0</v>
      </c>
      <c r="AY15" s="94">
        <v>134</v>
      </c>
      <c r="AZ15" s="94">
        <f>AT15-AY15</f>
        <v>0</v>
      </c>
      <c r="BA15" s="94">
        <f>AY15/AT15*100</f>
        <v>100</v>
      </c>
      <c r="BB15" s="94">
        <f>AY15/AW15*100</f>
        <v>100</v>
      </c>
      <c r="BC15" s="94">
        <f>AY15/AP15*100</f>
        <v>343.58974358974359</v>
      </c>
      <c r="BD15" s="97">
        <f>AY15/AF15*100</f>
        <v>446.66666666666669</v>
      </c>
      <c r="BE15" s="93">
        <v>31</v>
      </c>
      <c r="BF15" s="94">
        <f>BE15/AP15*100</f>
        <v>79.487179487179489</v>
      </c>
      <c r="BG15" s="94">
        <f>BE15-AT15</f>
        <v>-103</v>
      </c>
      <c r="BH15" s="93">
        <v>31</v>
      </c>
      <c r="BI15" s="93">
        <v>31</v>
      </c>
      <c r="BJ15" s="96">
        <f>BE15/$BE$42*100</f>
        <v>0.11682066896790824</v>
      </c>
      <c r="BK15" s="96">
        <f>BH15/$BH$42*100</f>
        <v>0.12274213856399618</v>
      </c>
      <c r="BL15" s="96">
        <f>BI15/$BI$42*100</f>
        <v>0.11286147528151656</v>
      </c>
      <c r="BM15" s="94">
        <v>31</v>
      </c>
      <c r="BN15" s="94">
        <v>31</v>
      </c>
      <c r="BO15" s="94">
        <v>23.7</v>
      </c>
      <c r="BP15" s="94">
        <v>31</v>
      </c>
      <c r="BQ15" s="94">
        <v>31</v>
      </c>
      <c r="BR15" s="94">
        <v>31</v>
      </c>
      <c r="BS15" s="94">
        <v>31</v>
      </c>
      <c r="BT15" s="94">
        <v>31</v>
      </c>
      <c r="BU15" s="94">
        <v>31</v>
      </c>
      <c r="BV15" s="94">
        <v>31</v>
      </c>
      <c r="BW15" s="94">
        <v>31</v>
      </c>
      <c r="BX15" s="94">
        <v>31</v>
      </c>
      <c r="BY15" s="94">
        <v>31</v>
      </c>
      <c r="BZ15" s="94">
        <v>31</v>
      </c>
      <c r="CA15" s="94">
        <v>31</v>
      </c>
      <c r="CB15" s="94">
        <v>31</v>
      </c>
      <c r="CC15" s="94">
        <v>31</v>
      </c>
      <c r="CD15" s="94">
        <v>31</v>
      </c>
      <c r="CE15" s="94">
        <v>31</v>
      </c>
      <c r="CF15" s="94">
        <v>31</v>
      </c>
      <c r="CG15" s="94">
        <v>31</v>
      </c>
      <c r="CH15" s="94">
        <v>31</v>
      </c>
      <c r="CI15" s="94">
        <v>31</v>
      </c>
      <c r="CJ15" s="94">
        <v>31</v>
      </c>
      <c r="CK15" s="94">
        <v>31</v>
      </c>
      <c r="CL15" s="94">
        <v>31</v>
      </c>
      <c r="CM15" s="95">
        <v>42</v>
      </c>
      <c r="CN15" s="95">
        <v>42</v>
      </c>
      <c r="CO15" s="94">
        <v>25.1</v>
      </c>
      <c r="CP15" s="94">
        <v>42</v>
      </c>
      <c r="CQ15" s="94">
        <v>42</v>
      </c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>
        <v>42</v>
      </c>
      <c r="DD15" s="94">
        <v>42</v>
      </c>
      <c r="DE15" s="94">
        <v>32</v>
      </c>
      <c r="DF15" s="94">
        <v>32</v>
      </c>
      <c r="DG15" s="94">
        <v>32</v>
      </c>
      <c r="DH15" s="94">
        <v>27</v>
      </c>
      <c r="DI15" s="94"/>
      <c r="DJ15" s="94"/>
      <c r="DK15" s="94">
        <f>DG15/$DG$42*100</f>
        <v>7.5893227715258083E-2</v>
      </c>
      <c r="DL15" s="94">
        <f>DH15/$DH$42*100</f>
        <v>8.7917526847407751E-2</v>
      </c>
      <c r="DM15" s="94">
        <f>DI15/$DI$42*100</f>
        <v>0</v>
      </c>
      <c r="DN15" s="94">
        <f>DJ15/$DJ$42*100</f>
        <v>0</v>
      </c>
      <c r="DO15" s="94">
        <f>DH15-DG15</f>
        <v>-5</v>
      </c>
      <c r="DP15" s="94">
        <f>DH15/DG15*100-100</f>
        <v>-15.625</v>
      </c>
      <c r="DQ15" s="94">
        <v>32</v>
      </c>
      <c r="DR15" s="94">
        <v>32</v>
      </c>
      <c r="DS15" s="94">
        <v>32</v>
      </c>
      <c r="DT15" s="94">
        <v>27</v>
      </c>
      <c r="DU15" s="94">
        <v>27</v>
      </c>
      <c r="DV15" s="94">
        <v>27</v>
      </c>
      <c r="DW15" s="94">
        <v>18.61</v>
      </c>
      <c r="DX15" s="94">
        <v>27</v>
      </c>
      <c r="DY15" s="94">
        <v>27</v>
      </c>
      <c r="DZ15" s="94">
        <v>0</v>
      </c>
      <c r="EA15" s="94">
        <v>0</v>
      </c>
      <c r="EB15" s="93">
        <v>27</v>
      </c>
      <c r="EC15" s="93">
        <v>27</v>
      </c>
      <c r="ED15" s="93">
        <v>27</v>
      </c>
      <c r="EE15" s="92">
        <f>EC15-EB15</f>
        <v>0</v>
      </c>
      <c r="EF15" s="92">
        <f>EC15/EB15*100</f>
        <v>100</v>
      </c>
      <c r="EG15" s="92">
        <f>EC15-ED15</f>
        <v>0</v>
      </c>
      <c r="EH15" s="92">
        <f>ED15/EC15*100</f>
        <v>100</v>
      </c>
      <c r="EI15" s="92">
        <f>ED15/DT15*100</f>
        <v>100</v>
      </c>
      <c r="EJ15" s="92">
        <f>ED15/EB15*100</f>
        <v>100</v>
      </c>
      <c r="EK15" s="92">
        <f>ED15/DS15*100</f>
        <v>84.375</v>
      </c>
      <c r="EL15" s="92">
        <f>EB15-DT15</f>
        <v>0</v>
      </c>
      <c r="EM15" s="92">
        <f>EB15/DT15*100</f>
        <v>100</v>
      </c>
      <c r="EN15" s="67"/>
    </row>
    <row r="16" spans="1:144" ht="68.25" customHeight="1" x14ac:dyDescent="0.2">
      <c r="A16" s="134" t="s">
        <v>280</v>
      </c>
      <c r="B16" s="107" t="s">
        <v>234</v>
      </c>
      <c r="C16" s="115" t="s">
        <v>273</v>
      </c>
      <c r="D16" s="108">
        <f>20.355+22.31+45.997+4.83+45.997</f>
        <v>139.489</v>
      </c>
      <c r="E16" s="107" t="s">
        <v>279</v>
      </c>
      <c r="F16" s="94">
        <v>560</v>
      </c>
      <c r="G16" s="94">
        <f>F16-E16</f>
        <v>309</v>
      </c>
      <c r="H16" s="106">
        <f>F16/E16</f>
        <v>2.2310756972111552</v>
      </c>
      <c r="I16" s="94">
        <v>559.995</v>
      </c>
      <c r="J16" s="83">
        <f>I16-F16</f>
        <v>-4.9999999999954525E-3</v>
      </c>
      <c r="K16" s="94">
        <f>3.3+4.016+99.5+2.4+0.779+50+293.69+106.309</f>
        <v>559.99400000000003</v>
      </c>
      <c r="L16" s="105">
        <f>K16/E16*100</f>
        <v>223.10517928286853</v>
      </c>
      <c r="M16" s="105">
        <f>K16/F16*100</f>
        <v>99.998928571428578</v>
      </c>
      <c r="N16" s="105">
        <f>K16/$K$42*100</f>
        <v>1.3529266920414007</v>
      </c>
      <c r="O16" s="105">
        <f>K16-F16</f>
        <v>-5.9999999999718057E-3</v>
      </c>
      <c r="P16" s="105">
        <f>K16/D16*100</f>
        <v>401.46104710765724</v>
      </c>
      <c r="Q16" s="114">
        <v>850</v>
      </c>
      <c r="R16" s="102">
        <v>850</v>
      </c>
      <c r="S16" s="100">
        <f>R16/Q16</f>
        <v>1</v>
      </c>
      <c r="T16" s="102">
        <v>249</v>
      </c>
      <c r="U16" s="100">
        <f>T16/R16</f>
        <v>0.29294117647058826</v>
      </c>
      <c r="V16" s="94">
        <f>T16-R16</f>
        <v>-601</v>
      </c>
      <c r="W16" s="102">
        <v>1249</v>
      </c>
      <c r="X16" s="102">
        <v>249</v>
      </c>
      <c r="Y16" s="104">
        <f>T16/$T$42</f>
        <v>8.234753304649494E-3</v>
      </c>
      <c r="Z16" s="104">
        <f>W16/$W$42</f>
        <v>4.8081550004427043E-2</v>
      </c>
      <c r="AA16" s="104">
        <f>X16/$X$42</f>
        <v>9.1066354090854236E-3</v>
      </c>
      <c r="AB16" s="103">
        <f>U16-100%</f>
        <v>-0.70705882352941174</v>
      </c>
      <c r="AC16" s="102">
        <v>550</v>
      </c>
      <c r="AD16" s="102">
        <v>950</v>
      </c>
      <c r="AE16" s="101">
        <v>950</v>
      </c>
      <c r="AF16" s="101">
        <f>14.609+79+39.16+67.231+50+600+100</f>
        <v>950</v>
      </c>
      <c r="AG16" s="100">
        <f>AF16/AE16</f>
        <v>1</v>
      </c>
      <c r="AH16" s="94">
        <f>AE16-AF16</f>
        <v>0</v>
      </c>
      <c r="AI16" s="100">
        <f>AF16/AC16</f>
        <v>1.7272727272727273</v>
      </c>
      <c r="AJ16" s="100">
        <f>AF16/AD16</f>
        <v>1</v>
      </c>
      <c r="AK16" s="100">
        <f>AE16/AC16</f>
        <v>1.7272727272727273</v>
      </c>
      <c r="AL16" s="100">
        <f>AF16/$AF$42</f>
        <v>2.3377955041190238E-2</v>
      </c>
      <c r="AM16" s="94">
        <f>AD16-AC16</f>
        <v>400</v>
      </c>
      <c r="AN16" s="99">
        <f>AE16-AD16</f>
        <v>0</v>
      </c>
      <c r="AO16" s="98">
        <f>AE16/AD16</f>
        <v>1</v>
      </c>
      <c r="AP16" s="93">
        <v>249</v>
      </c>
      <c r="AQ16" s="93">
        <v>349</v>
      </c>
      <c r="AR16" s="93"/>
      <c r="AS16" s="93">
        <v>176.5</v>
      </c>
      <c r="AT16" s="93">
        <v>429.4</v>
      </c>
      <c r="AU16" s="94">
        <f>AT16-AP16</f>
        <v>180.39999999999998</v>
      </c>
      <c r="AV16" s="94">
        <f>AT16/AP16*100</f>
        <v>172.44979919678713</v>
      </c>
      <c r="AW16" s="94">
        <v>429.4</v>
      </c>
      <c r="AX16" s="94">
        <f>AW16-AT16</f>
        <v>0</v>
      </c>
      <c r="AY16" s="94">
        <v>429.4</v>
      </c>
      <c r="AZ16" s="94">
        <f>AT16-AY16</f>
        <v>0</v>
      </c>
      <c r="BA16" s="94">
        <f>AY16/AT16*100</f>
        <v>100</v>
      </c>
      <c r="BB16" s="94">
        <f>AY16/AW16*100</f>
        <v>100</v>
      </c>
      <c r="BC16" s="94">
        <f>AY16/AP16*100</f>
        <v>172.44979919678713</v>
      </c>
      <c r="BD16" s="97">
        <f>AY16/AF16*100</f>
        <v>45.199999999999996</v>
      </c>
      <c r="BE16" s="93">
        <v>291</v>
      </c>
      <c r="BF16" s="94">
        <f>BE16/AP16*100</f>
        <v>116.86746987951808</v>
      </c>
      <c r="BG16" s="94">
        <f>BE16-AT16</f>
        <v>-138.39999999999998</v>
      </c>
      <c r="BH16" s="93">
        <v>248</v>
      </c>
      <c r="BI16" s="93">
        <v>248</v>
      </c>
      <c r="BJ16" s="96">
        <f>BE16/$BE$42*100</f>
        <v>1.0966069248277837</v>
      </c>
      <c r="BK16" s="96">
        <f>BH16/$BH$42*100</f>
        <v>0.98193710851196947</v>
      </c>
      <c r="BL16" s="96">
        <f>BI16/$BI$42*100</f>
        <v>0.9028918022521325</v>
      </c>
      <c r="BM16" s="94">
        <v>291</v>
      </c>
      <c r="BN16" s="94">
        <v>521</v>
      </c>
      <c r="BO16" s="94">
        <v>362.7</v>
      </c>
      <c r="BP16" s="94">
        <v>521</v>
      </c>
      <c r="BQ16" s="94">
        <v>622.79999999999995</v>
      </c>
      <c r="BR16" s="94">
        <v>622.79999999999995</v>
      </c>
      <c r="BS16" s="94">
        <v>622.79999999999995</v>
      </c>
      <c r="BT16" s="94">
        <v>622.79999999999995</v>
      </c>
      <c r="BU16" s="94">
        <v>622.79999999999995</v>
      </c>
      <c r="BV16" s="94">
        <v>622.79999999999995</v>
      </c>
      <c r="BW16" s="94">
        <v>622.79999999999995</v>
      </c>
      <c r="BX16" s="94">
        <v>622.79999999999995</v>
      </c>
      <c r="BY16" s="94">
        <v>622.79999999999995</v>
      </c>
      <c r="BZ16" s="94">
        <v>622.79999999999995</v>
      </c>
      <c r="CA16" s="94">
        <v>622.79999999999995</v>
      </c>
      <c r="CB16" s="94">
        <v>622.79999999999995</v>
      </c>
      <c r="CC16" s="94">
        <v>622.79999999999995</v>
      </c>
      <c r="CD16" s="94">
        <v>622.79999999999995</v>
      </c>
      <c r="CE16" s="94">
        <v>622.79999999999995</v>
      </c>
      <c r="CF16" s="94">
        <v>622.79999999999995</v>
      </c>
      <c r="CG16" s="94">
        <v>622.79999999999995</v>
      </c>
      <c r="CH16" s="94">
        <v>622.79999999999995</v>
      </c>
      <c r="CI16" s="94">
        <v>622.79999999999995</v>
      </c>
      <c r="CJ16" s="94">
        <v>622.79999999999995</v>
      </c>
      <c r="CK16" s="94">
        <v>622.79999999999995</v>
      </c>
      <c r="CL16" s="94">
        <v>622.79999999999995</v>
      </c>
      <c r="CM16" s="95">
        <v>358.1</v>
      </c>
      <c r="CN16" s="95">
        <v>420</v>
      </c>
      <c r="CO16" s="94">
        <v>418.2</v>
      </c>
      <c r="CP16" s="94">
        <v>420</v>
      </c>
      <c r="CQ16" s="94">
        <v>420</v>
      </c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>
        <v>420</v>
      </c>
      <c r="DD16" s="94">
        <v>418.2</v>
      </c>
      <c r="DE16" s="94">
        <v>380.1</v>
      </c>
      <c r="DF16" s="94">
        <v>280.10000000000002</v>
      </c>
      <c r="DG16" s="94">
        <v>280.10000000000002</v>
      </c>
      <c r="DH16" s="94">
        <v>210</v>
      </c>
      <c r="DI16" s="94">
        <v>210</v>
      </c>
      <c r="DJ16" s="94">
        <v>210</v>
      </c>
      <c r="DK16" s="94">
        <f>DG16/$DG$42*100</f>
        <v>0.66430290884511844</v>
      </c>
      <c r="DL16" s="94">
        <f>DH16/$DH$42*100</f>
        <v>0.68380298659094907</v>
      </c>
      <c r="DM16" s="94">
        <f>DI16/$DI$42*100</f>
        <v>0.69899112281274034</v>
      </c>
      <c r="DN16" s="94">
        <f>DJ16/$DJ$42*100</f>
        <v>0.69871204080478322</v>
      </c>
      <c r="DO16" s="94">
        <f>DH16-DG16</f>
        <v>-70.100000000000023</v>
      </c>
      <c r="DP16" s="94">
        <f>DH16/DG16*100-100</f>
        <v>-25.02677615137452</v>
      </c>
      <c r="DQ16" s="94">
        <v>222.9</v>
      </c>
      <c r="DR16" s="94">
        <v>222.9</v>
      </c>
      <c r="DS16" s="94">
        <v>222.8</v>
      </c>
      <c r="DT16" s="94">
        <v>210</v>
      </c>
      <c r="DU16" s="94">
        <v>293</v>
      </c>
      <c r="DV16" s="94">
        <v>293</v>
      </c>
      <c r="DW16" s="94">
        <v>35.68</v>
      </c>
      <c r="DX16" s="94">
        <v>293</v>
      </c>
      <c r="DY16" s="94">
        <v>210</v>
      </c>
      <c r="DZ16" s="94">
        <v>210</v>
      </c>
      <c r="EA16" s="94">
        <v>210</v>
      </c>
      <c r="EB16" s="93">
        <v>127.7</v>
      </c>
      <c r="EC16" s="93">
        <v>127.7</v>
      </c>
      <c r="ED16" s="93">
        <v>127.7</v>
      </c>
      <c r="EE16" s="92">
        <f>EC16-EB16</f>
        <v>0</v>
      </c>
      <c r="EF16" s="92">
        <f>EC16/EB16*100</f>
        <v>100</v>
      </c>
      <c r="EG16" s="92">
        <f>EC16-ED16</f>
        <v>0</v>
      </c>
      <c r="EH16" s="92">
        <f>ED16/EC16*100</f>
        <v>100</v>
      </c>
      <c r="EI16" s="92">
        <f>ED16/DT16*100</f>
        <v>60.80952380952381</v>
      </c>
      <c r="EJ16" s="92">
        <f>ED16/EB16*100</f>
        <v>100</v>
      </c>
      <c r="EK16" s="92">
        <f>ED16/DS16*100</f>
        <v>57.315978456014363</v>
      </c>
      <c r="EL16" s="92">
        <f>EB16-DT16</f>
        <v>-82.3</v>
      </c>
      <c r="EM16" s="92">
        <f>EB16/DT16*100</f>
        <v>60.80952380952381</v>
      </c>
      <c r="EN16" s="67"/>
    </row>
    <row r="17" spans="1:144" s="85" customFormat="1" ht="16.5" customHeight="1" x14ac:dyDescent="0.2">
      <c r="A17" s="162" t="s">
        <v>278</v>
      </c>
      <c r="B17" s="133" t="s">
        <v>248</v>
      </c>
      <c r="C17" s="133"/>
      <c r="D17" s="79">
        <f>D19+D22+D21+D18+D20</f>
        <v>1662.028</v>
      </c>
      <c r="E17" s="83">
        <f>E19+E22+E21+E18+E20</f>
        <v>427</v>
      </c>
      <c r="F17" s="83">
        <f>F19+F22+F21+F18+F20</f>
        <v>9538.9500000000007</v>
      </c>
      <c r="G17" s="83">
        <f>F17-E17</f>
        <v>9111.9500000000007</v>
      </c>
      <c r="H17" s="88">
        <f>F17/E17</f>
        <v>22.33946135831382</v>
      </c>
      <c r="I17" s="83">
        <f>I19+I22+I21+I18+I20</f>
        <v>9538.9470000000001</v>
      </c>
      <c r="J17" s="83">
        <f>I17-F17</f>
        <v>-3.0000000006111804E-3</v>
      </c>
      <c r="K17" s="83">
        <f>K19+K22+K21+K18+K20</f>
        <v>8768.0990000000002</v>
      </c>
      <c r="L17" s="83" t="e">
        <f>L19+L22+L21+L18+L20</f>
        <v>#DIV/0!</v>
      </c>
      <c r="M17" s="83">
        <f>M19+M22+M21+M18+M20</f>
        <v>487.89584725276245</v>
      </c>
      <c r="N17" s="83">
        <f>N19+N22+N21+N18+N20</f>
        <v>21.183432635995228</v>
      </c>
      <c r="O17" s="83">
        <f>O19+O22+O21+O18+O20</f>
        <v>-770.85100000000034</v>
      </c>
      <c r="P17" s="83">
        <f>P19+P22+P21+P18+P20</f>
        <v>370.28048199912939</v>
      </c>
      <c r="Q17" s="83">
        <f>Q19+Q22+Q21+Q18+Q20</f>
        <v>6743</v>
      </c>
      <c r="R17" s="83">
        <f>R19+R22+R21+R18+R20</f>
        <v>6743</v>
      </c>
      <c r="S17" s="83">
        <f>S19+S22+S21+S18+S20</f>
        <v>5</v>
      </c>
      <c r="T17" s="83">
        <f>T19+T22+T21+T18+T20</f>
        <v>3531.3</v>
      </c>
      <c r="U17" s="83">
        <f>U19+U22+U21+U18+U20</f>
        <v>4.3485022128880395</v>
      </c>
      <c r="V17" s="83">
        <f>V19+V22+V21+V18+V20</f>
        <v>-3211.7000000000003</v>
      </c>
      <c r="W17" s="83">
        <f>W19+W22+W21+W18+W20</f>
        <v>2967.3</v>
      </c>
      <c r="X17" s="83">
        <f>X19+X22+X21+X18+X20</f>
        <v>2332.3000000000002</v>
      </c>
      <c r="Y17" s="83">
        <f>Y19+Y22+Y21+Y18+Y20</f>
        <v>0.11678467608316773</v>
      </c>
      <c r="Z17" s="83">
        <f>Z19+Z22+Z21+Z18+Z20</f>
        <v>0.11422929009458477</v>
      </c>
      <c r="AA17" s="83">
        <f>AA19+AA22+AA21+AA18+AA20</f>
        <v>8.5298818331766793E-2</v>
      </c>
      <c r="AB17" s="83">
        <f>AB19+AB22+AB21+AB18+AB20</f>
        <v>-0.6514977871119606</v>
      </c>
      <c r="AC17" s="83">
        <f>AC19+AC22+AC21+AC18+AC20</f>
        <v>4766.5</v>
      </c>
      <c r="AD17" s="83">
        <f>AD19+AD22+AD21+AD18+AD20</f>
        <v>7411.5</v>
      </c>
      <c r="AE17" s="79">
        <f>AE19+AE22+AE21+AE18+AE20</f>
        <v>7411.49</v>
      </c>
      <c r="AF17" s="79">
        <f>AF19+AF22+AF21+AF18+AF20</f>
        <v>6495.9560000000001</v>
      </c>
      <c r="AG17" s="79">
        <f>AG19+AG22+AG21+AG18+AG20</f>
        <v>4.8319848885608438</v>
      </c>
      <c r="AH17" s="79">
        <f>AH19+AH22+AH21+AH18+AH20</f>
        <v>915.53399999999965</v>
      </c>
      <c r="AI17" s="79">
        <f>AI19+AI22+AI21+AI18+AI20</f>
        <v>10.527894486418848</v>
      </c>
      <c r="AJ17" s="79">
        <f>AJ19+AJ22+AJ21+AJ18+AJ20</f>
        <v>4.8309211255046867</v>
      </c>
      <c r="AK17" s="79">
        <f>AK19+AK22+AK21+AK18+AK20</f>
        <v>10.738871327068692</v>
      </c>
      <c r="AL17" s="79">
        <f>AL19+AL22+AL21+AL18+AL20</f>
        <v>0.15985491296584209</v>
      </c>
      <c r="AM17" s="79">
        <f>AM19+AM22+AM21+AM18+AM20</f>
        <v>2645</v>
      </c>
      <c r="AN17" s="79">
        <f>AN19+AN22+AN21+AN18+AN20</f>
        <v>-9.9999999997919531E-3</v>
      </c>
      <c r="AO17" s="79">
        <f>AO19+AO22+AO21+AO18+AO20</f>
        <v>4.9989398445357009</v>
      </c>
      <c r="AP17" s="79">
        <f>AP19+AP22+AP21+AP18+AP20</f>
        <v>3531.3</v>
      </c>
      <c r="AQ17" s="79">
        <f>AQ19+AQ22+AQ21+AQ18+AQ20</f>
        <v>6216.2000000000007</v>
      </c>
      <c r="AR17" s="79">
        <f>AR19+AR22+AR21+AR18+AR20</f>
        <v>0</v>
      </c>
      <c r="AS17" s="79">
        <f>AS19+AS22+AS21+AS18+AS20</f>
        <v>4402</v>
      </c>
      <c r="AT17" s="79">
        <f>AT19+AT22+AT21+AT18+AT20</f>
        <v>6071.3</v>
      </c>
      <c r="AU17" s="83">
        <f>AT17-AP17</f>
        <v>2540</v>
      </c>
      <c r="AV17" s="83">
        <f>AT17/AP17*100</f>
        <v>171.92818508764478</v>
      </c>
      <c r="AW17" s="79">
        <f>AW19+AW22+AW21+AW18+AW20</f>
        <v>6071.4</v>
      </c>
      <c r="AX17" s="83">
        <f>AW17-AT17</f>
        <v>9.9999999999454303E-2</v>
      </c>
      <c r="AY17" s="79">
        <f>AY19+AY22+AY21+AY18+AY20</f>
        <v>6071.4</v>
      </c>
      <c r="AZ17" s="79">
        <f>AZ19+AZ22+AZ21+AZ18+AZ20</f>
        <v>-9.9999999999909051E-2</v>
      </c>
      <c r="BA17" s="79">
        <f>BA19+BA22+BA21+BA18+BA20</f>
        <v>500.00262191924492</v>
      </c>
      <c r="BB17" s="79">
        <f>BB19+BB22+BB21+BB18+BB20</f>
        <v>500</v>
      </c>
      <c r="BC17" s="79">
        <f>BC19+BC22+BC21+BC18+BC20</f>
        <v>426.26250380699224</v>
      </c>
      <c r="BD17" s="79">
        <f>BD19+BD22+BD21+BD18+BD20</f>
        <v>419.25396140491182</v>
      </c>
      <c r="BE17" s="79">
        <f>BE19+BE22+BE21+BE18+BE20</f>
        <v>2967.6</v>
      </c>
      <c r="BF17" s="79">
        <f>BF19+BF22+BF21+BF18+BF20</f>
        <v>379.8556266304542</v>
      </c>
      <c r="BG17" s="79">
        <f>BG19+BG22+BG21+BG18+BG20</f>
        <v>-3103.7</v>
      </c>
      <c r="BH17" s="79">
        <f>BH19+BH22+BH21+BH18+BH20</f>
        <v>2437.6</v>
      </c>
      <c r="BI17" s="79">
        <f>BI19+BI22+BI21+BI18+BI20</f>
        <v>1709.4</v>
      </c>
      <c r="BJ17" s="79">
        <f>BJ19+BJ22+BJ21+BJ18+BJ20</f>
        <v>11.183129588037565</v>
      </c>
      <c r="BK17" s="79">
        <f>BK19+BK22+BK21+BK18+BK20</f>
        <v>9.6514915149547438</v>
      </c>
      <c r="BL17" s="79">
        <f>BL19+BL22+BL21+BL18+BL20</f>
        <v>6.2234001885878847</v>
      </c>
      <c r="BM17" s="79">
        <f>BM19+BM22+BM21+BM18+BM20</f>
        <v>2967.6</v>
      </c>
      <c r="BN17" s="79">
        <f>BN19+BN22+BN21+BN18+BN20</f>
        <v>4587.1000000000004</v>
      </c>
      <c r="BO17" s="79">
        <f>BO19+BO22+BO21+BO18+BO20</f>
        <v>3520</v>
      </c>
      <c r="BP17" s="79">
        <f>BP19+BP22+BP21+BP18+BP20</f>
        <v>4587.1000000000004</v>
      </c>
      <c r="BQ17" s="79">
        <f>BQ19+BQ22+BQ21+BQ18+BQ20</f>
        <v>4874.7000000000007</v>
      </c>
      <c r="BR17" s="79">
        <f>BR19+BR22+BR21+BR18+BR20</f>
        <v>4874.7000000000007</v>
      </c>
      <c r="BS17" s="79">
        <f>BS19+BS22+BS21+BS18+BS20</f>
        <v>4674.2999999999993</v>
      </c>
      <c r="BT17" s="79">
        <f>BT19+BT22+BT21+BT18+BT20</f>
        <v>4674.2999999999993</v>
      </c>
      <c r="BU17" s="79">
        <f>BU19+BU22+BU21+BU18+BU20</f>
        <v>4674.2999999999993</v>
      </c>
      <c r="BV17" s="79">
        <f>BV19+BV22+BV21+BV18+BV20</f>
        <v>4674.2999999999993</v>
      </c>
      <c r="BW17" s="79">
        <f>BW19+BW22+BW21+BW18+BW20</f>
        <v>4674.2999999999993</v>
      </c>
      <c r="BX17" s="79">
        <f>BX19+BX22+BX21+BX18+BX20</f>
        <v>4674.2999999999993</v>
      </c>
      <c r="BY17" s="79">
        <f>BY19+BY22+BY21+BY18+BY20</f>
        <v>4674.2999999999993</v>
      </c>
      <c r="BZ17" s="79">
        <f>BZ19+BZ22+BZ21+BZ18+BZ20</f>
        <v>4674.2999999999993</v>
      </c>
      <c r="CA17" s="79">
        <f>CA19+CA22+CA21+CA18+CA20</f>
        <v>4674.2999999999993</v>
      </c>
      <c r="CB17" s="79">
        <f>CB19+CB22+CB21+CB18+CB20</f>
        <v>4674.2999999999993</v>
      </c>
      <c r="CC17" s="79">
        <f>CC19+CC22+CC21+CC18+CC20</f>
        <v>4674.2999999999993</v>
      </c>
      <c r="CD17" s="79">
        <f>CD19+CD22+CD21+CD18+CD20</f>
        <v>4674.2999999999993</v>
      </c>
      <c r="CE17" s="79">
        <f>CE19+CE22+CE21+CE18+CE20</f>
        <v>4674.2999999999993</v>
      </c>
      <c r="CF17" s="79">
        <f>CF19+CF22+CF21+CF18+CF20</f>
        <v>4674.2999999999993</v>
      </c>
      <c r="CG17" s="79">
        <f>CG19+CG22+CG21+CG18+CG20</f>
        <v>4674.2999999999993</v>
      </c>
      <c r="CH17" s="79">
        <f>CH19+CH22+CH21+CH18+CH20</f>
        <v>4674.2999999999993</v>
      </c>
      <c r="CI17" s="79">
        <f>CI19+CI22+CI21+CI18+CI20</f>
        <v>4674.2999999999993</v>
      </c>
      <c r="CJ17" s="79">
        <f>CJ19+CJ22+CJ21+CJ18+CJ20</f>
        <v>4674.2999999999993</v>
      </c>
      <c r="CK17" s="79">
        <f>CK19+CK22+CK21+CK18+CK20</f>
        <v>4674.2999999999993</v>
      </c>
      <c r="CL17" s="79">
        <f>CL19+CL22+CL21+CL18+CL20</f>
        <v>4674.2999999999993</v>
      </c>
      <c r="CM17" s="87">
        <f>CM19+CM22+CM21+CM18+CM20</f>
        <v>3494.4</v>
      </c>
      <c r="CN17" s="87">
        <f>CN19+CN22+CN21+CN18+CN20</f>
        <v>5051.05</v>
      </c>
      <c r="CO17" s="79">
        <f>CO19+CO22+CO21+CO18+CO20</f>
        <v>4199</v>
      </c>
      <c r="CP17" s="79">
        <f>CP19+CP22+CP21+CP18+CP20</f>
        <v>5051.1000000000004</v>
      </c>
      <c r="CQ17" s="79">
        <f>CQ19+CQ22+CQ21+CQ18+CQ20</f>
        <v>5269.73</v>
      </c>
      <c r="CR17" s="79">
        <f>CR19+CR22+CR21+CR18+CR20</f>
        <v>0</v>
      </c>
      <c r="CS17" s="79">
        <f>CS19+CS22+CS21+CS18+CS20</f>
        <v>0</v>
      </c>
      <c r="CT17" s="79">
        <f>CT19+CT22+CT21+CT18+CT20</f>
        <v>0</v>
      </c>
      <c r="CU17" s="79">
        <f>CU19+CU22+CU21+CU18+CU20</f>
        <v>0</v>
      </c>
      <c r="CV17" s="79">
        <f>CV19+CV22+CV21+CV18+CV20</f>
        <v>0</v>
      </c>
      <c r="CW17" s="79">
        <f>CW19+CW22+CW21+CW18+CW20</f>
        <v>0</v>
      </c>
      <c r="CX17" s="79">
        <f>CX19+CX22+CX21+CX18+CX20</f>
        <v>0</v>
      </c>
      <c r="CY17" s="79">
        <f>CY19+CY22+CY21+CY18+CY20</f>
        <v>0</v>
      </c>
      <c r="CZ17" s="79">
        <f>CZ19+CZ22+CZ21+CZ18+CZ20</f>
        <v>0</v>
      </c>
      <c r="DA17" s="79">
        <f>DA19+DA22+DA21+DA18+DA20</f>
        <v>0</v>
      </c>
      <c r="DB17" s="79">
        <f>DB19+DB22+DB21+DB18+DB20</f>
        <v>0</v>
      </c>
      <c r="DC17" s="79">
        <f>DC19+DC22+DC21+DC18+DC20</f>
        <v>5280</v>
      </c>
      <c r="DD17" s="79">
        <f>DD19+DD22+DD21+DD18+DD20</f>
        <v>5280</v>
      </c>
      <c r="DE17" s="79">
        <f>DE19+DE22+DE21+DE18+DE20</f>
        <v>4936.3</v>
      </c>
      <c r="DF17" s="79">
        <f>DF19+DF22+DF21+DF18+DF20</f>
        <v>7979.87</v>
      </c>
      <c r="DG17" s="79">
        <f>DG19+DG22+DG21+DG18+DG20</f>
        <v>7979.9</v>
      </c>
      <c r="DH17" s="79">
        <f>DH19+DH22+DH21+DH18+DH20</f>
        <v>3875.8</v>
      </c>
      <c r="DI17" s="79">
        <f>DI19+DI22+DI21+DI18+DI20</f>
        <v>3847.3</v>
      </c>
      <c r="DJ17" s="79">
        <f>DJ19+DJ22+DJ21+DJ18+DJ20</f>
        <v>3847.3</v>
      </c>
      <c r="DK17" s="79">
        <f>DK19+DK22+DK21+DK18+DK20</f>
        <v>18.925636495155874</v>
      </c>
      <c r="DL17" s="79">
        <f>DL19+DL22+DL21+DL18+DL20</f>
        <v>12.62039816871048</v>
      </c>
      <c r="DM17" s="79">
        <f>DM19+DM22+DM21+DM18+DM20</f>
        <v>12.805850222845027</v>
      </c>
      <c r="DN17" s="79">
        <f>DN19+DN22+DN21+DN18+DN20</f>
        <v>12.800737307563059</v>
      </c>
      <c r="DO17" s="79">
        <f>DO19+DO22+DO21+DO18+DO20</f>
        <v>-4104.0999999999995</v>
      </c>
      <c r="DP17" s="79" t="e">
        <f>DP19+DP22+DP21+DP18+DP20</f>
        <v>#DIV/0!</v>
      </c>
      <c r="DQ17" s="79">
        <f>DQ19+DQ22+DQ21+DQ18+DQ20</f>
        <v>7194.07</v>
      </c>
      <c r="DR17" s="79">
        <f>DR19+DR22+DR21+DR18+DR20</f>
        <v>7194.1</v>
      </c>
      <c r="DS17" s="79">
        <f>DS19+DS22+DS21+DS18+DS20</f>
        <v>7149</v>
      </c>
      <c r="DT17" s="79">
        <f>DT19+DT22+DT21+DT18+DT20</f>
        <v>3875.8</v>
      </c>
      <c r="DU17" s="79">
        <f>DU19+DU22+DU21+DU18+DU20</f>
        <v>5989.55</v>
      </c>
      <c r="DV17" s="79">
        <f>DV19+DV22+DV21+DV18+DV20</f>
        <v>5989.55</v>
      </c>
      <c r="DW17" s="79">
        <f>DW19+DW22+DW21+DW18+DW20</f>
        <v>4310.03</v>
      </c>
      <c r="DX17" s="79">
        <f>DX19+DX22+DX21+DX18+DX20</f>
        <v>5991.1</v>
      </c>
      <c r="DY17" s="79">
        <f>DY19+DY22+DY21+DY18+DY20</f>
        <v>4282</v>
      </c>
      <c r="DZ17" s="79">
        <f>DZ19+DZ22+DZ21+DZ18+DZ20</f>
        <v>4369.8999999999996</v>
      </c>
      <c r="EA17" s="79">
        <f>EA19+EA22+EA21+EA18+EA20</f>
        <v>3711.8</v>
      </c>
      <c r="EB17" s="79">
        <f>EB19+EB22+EB21+EB18+EB20</f>
        <v>6114.7</v>
      </c>
      <c r="EC17" s="79">
        <f>EC19+EC22+EC21+EC18+EC20</f>
        <v>6114.7</v>
      </c>
      <c r="ED17" s="79">
        <f>ED19+ED22+ED21+ED18+ED20</f>
        <v>5613.3</v>
      </c>
      <c r="EE17" s="86">
        <f>EC17-EB17</f>
        <v>0</v>
      </c>
      <c r="EF17" s="86">
        <f>EC17/EB17*100</f>
        <v>100</v>
      </c>
      <c r="EG17" s="86">
        <f>EC17-ED17</f>
        <v>501.39999999999964</v>
      </c>
      <c r="EH17" s="86">
        <f>ED17/EC17*100</f>
        <v>91.80008831177328</v>
      </c>
      <c r="EI17" s="86">
        <f>ED17/DT17*100</f>
        <v>144.82945456421902</v>
      </c>
      <c r="EJ17" s="86">
        <f>ED17/EB17*100</f>
        <v>91.80008831177328</v>
      </c>
      <c r="EK17" s="86">
        <f>ED17/DS17*100</f>
        <v>78.518673940411247</v>
      </c>
      <c r="EL17" s="86">
        <f>EB17-DT17</f>
        <v>2238.8999999999996</v>
      </c>
      <c r="EM17" s="86">
        <f>EB17/DT17*100</f>
        <v>157.7661386036431</v>
      </c>
      <c r="EN17" s="67"/>
    </row>
    <row r="18" spans="1:144" ht="23.25" customHeight="1" x14ac:dyDescent="0.2">
      <c r="A18" s="161" t="s">
        <v>277</v>
      </c>
      <c r="B18" s="107" t="s">
        <v>248</v>
      </c>
      <c r="C18" s="115" t="s">
        <v>241</v>
      </c>
      <c r="D18" s="111">
        <f>835.368+373.35</f>
        <v>1208.7180000000001</v>
      </c>
      <c r="E18" s="107"/>
      <c r="F18" s="94">
        <v>1402.59</v>
      </c>
      <c r="G18" s="94">
        <f>F18-E18</f>
        <v>1402.59</v>
      </c>
      <c r="H18" s="106">
        <v>0</v>
      </c>
      <c r="I18" s="94">
        <v>1402.585</v>
      </c>
      <c r="J18" s="83">
        <f>I18-F18</f>
        <v>-4.9999999998817657E-3</v>
      </c>
      <c r="K18" s="94">
        <f>996.11+406.475</f>
        <v>1402.585</v>
      </c>
      <c r="L18" s="105" t="e">
        <f>K18/E18*100</f>
        <v>#DIV/0!</v>
      </c>
      <c r="M18" s="105">
        <f>K18/F18*100</f>
        <v>99.999643516637079</v>
      </c>
      <c r="N18" s="105">
        <f>K18/$K$42*100</f>
        <v>3.3885982427613293</v>
      </c>
      <c r="O18" s="105">
        <f>K18-F18</f>
        <v>-4.9999999998817657E-3</v>
      </c>
      <c r="P18" s="105">
        <f>K18/D18*100</f>
        <v>116.03905956558933</v>
      </c>
      <c r="Q18" s="114">
        <v>911.9</v>
      </c>
      <c r="R18" s="102">
        <v>911.9</v>
      </c>
      <c r="S18" s="100">
        <f>R18/Q18</f>
        <v>1</v>
      </c>
      <c r="T18" s="102"/>
      <c r="U18" s="100">
        <f>T18/R18</f>
        <v>0</v>
      </c>
      <c r="V18" s="94">
        <f>T18-R18</f>
        <v>-911.9</v>
      </c>
      <c r="W18" s="102"/>
      <c r="X18" s="102"/>
      <c r="Y18" s="104">
        <f>T18/$T$42</f>
        <v>0</v>
      </c>
      <c r="Z18" s="104">
        <f>W18/$W$42</f>
        <v>0</v>
      </c>
      <c r="AA18" s="104">
        <f>X18/$X$42</f>
        <v>0</v>
      </c>
      <c r="AB18" s="103">
        <f>U18-100%</f>
        <v>-1</v>
      </c>
      <c r="AC18" s="102">
        <v>0</v>
      </c>
      <c r="AD18" s="102">
        <v>1209.2</v>
      </c>
      <c r="AE18" s="101">
        <v>1209.1890000000001</v>
      </c>
      <c r="AF18" s="101">
        <f>938.536+270.653</f>
        <v>1209.1889999999999</v>
      </c>
      <c r="AG18" s="100">
        <f>AF18/AE18</f>
        <v>0.99999999999999978</v>
      </c>
      <c r="AH18" s="94">
        <f>AE18-AF18</f>
        <v>0</v>
      </c>
      <c r="AI18" s="100">
        <v>0</v>
      </c>
      <c r="AJ18" s="100">
        <f>AF18/AD18</f>
        <v>0.99999090307641403</v>
      </c>
      <c r="AK18" s="100">
        <v>0</v>
      </c>
      <c r="AL18" s="100">
        <f>AF18/$AF$42</f>
        <v>2.9756174819265031E-2</v>
      </c>
      <c r="AM18" s="94">
        <f>AD18-AC18</f>
        <v>1209.2</v>
      </c>
      <c r="AN18" s="99">
        <f>AE18-AD18</f>
        <v>-1.0999999999967258E-2</v>
      </c>
      <c r="AO18" s="98">
        <f>AE18/AD18</f>
        <v>0.99999090307641414</v>
      </c>
      <c r="AP18" s="93">
        <v>0</v>
      </c>
      <c r="AQ18" s="93">
        <v>1458.4</v>
      </c>
      <c r="AR18" s="93"/>
      <c r="AS18" s="93">
        <v>1410.1</v>
      </c>
      <c r="AT18" s="93">
        <v>1650</v>
      </c>
      <c r="AU18" s="94">
        <f>AT18-AP18</f>
        <v>1650</v>
      </c>
      <c r="AV18" s="94">
        <v>0</v>
      </c>
      <c r="AW18" s="94">
        <v>1650</v>
      </c>
      <c r="AX18" s="94">
        <f>AW18-AT18</f>
        <v>0</v>
      </c>
      <c r="AY18" s="94">
        <v>1650</v>
      </c>
      <c r="AZ18" s="94">
        <f>AT18-AY18</f>
        <v>0</v>
      </c>
      <c r="BA18" s="94">
        <f>AY18/AT18*100</f>
        <v>100</v>
      </c>
      <c r="BB18" s="94">
        <f>AY18/AW18*100</f>
        <v>100</v>
      </c>
      <c r="BC18" s="94">
        <v>0</v>
      </c>
      <c r="BD18" s="97">
        <f>AY18/AF18*100</f>
        <v>136.4550951092013</v>
      </c>
      <c r="BE18" s="93">
        <v>0</v>
      </c>
      <c r="BF18" s="94">
        <v>0</v>
      </c>
      <c r="BG18" s="94">
        <f>BE18-AT18</f>
        <v>-1650</v>
      </c>
      <c r="BH18" s="93">
        <v>0</v>
      </c>
      <c r="BI18" s="93">
        <v>0</v>
      </c>
      <c r="BJ18" s="96">
        <f>BE18/$BE$42*100</f>
        <v>0</v>
      </c>
      <c r="BK18" s="96">
        <f>BH18/$BH$42*100</f>
        <v>0</v>
      </c>
      <c r="BL18" s="96">
        <f>BI18/$BI$42*100</f>
        <v>0</v>
      </c>
      <c r="BM18" s="94">
        <v>0</v>
      </c>
      <c r="BN18" s="94">
        <v>1392.5</v>
      </c>
      <c r="BO18" s="94">
        <v>1352.8</v>
      </c>
      <c r="BP18" s="94">
        <v>1392.5</v>
      </c>
      <c r="BQ18" s="94">
        <v>1702.9</v>
      </c>
      <c r="BR18" s="94">
        <v>1702.9</v>
      </c>
      <c r="BS18" s="94">
        <v>1702.9</v>
      </c>
      <c r="BT18" s="94">
        <v>1702.9</v>
      </c>
      <c r="BU18" s="94">
        <v>1702.9</v>
      </c>
      <c r="BV18" s="94">
        <v>1702.9</v>
      </c>
      <c r="BW18" s="94">
        <v>1702.9</v>
      </c>
      <c r="BX18" s="94">
        <v>1702.9</v>
      </c>
      <c r="BY18" s="94">
        <v>1702.9</v>
      </c>
      <c r="BZ18" s="94">
        <v>1702.9</v>
      </c>
      <c r="CA18" s="94">
        <v>1702.9</v>
      </c>
      <c r="CB18" s="94">
        <v>1702.9</v>
      </c>
      <c r="CC18" s="94">
        <v>1702.9</v>
      </c>
      <c r="CD18" s="94">
        <v>1702.9</v>
      </c>
      <c r="CE18" s="94">
        <v>1702.9</v>
      </c>
      <c r="CF18" s="94">
        <v>1702.9</v>
      </c>
      <c r="CG18" s="94">
        <v>1702.9</v>
      </c>
      <c r="CH18" s="94">
        <v>1702.9</v>
      </c>
      <c r="CI18" s="94">
        <v>1702.9</v>
      </c>
      <c r="CJ18" s="94">
        <v>1702.9</v>
      </c>
      <c r="CK18" s="94">
        <v>1702.9</v>
      </c>
      <c r="CL18" s="94">
        <v>1702.9</v>
      </c>
      <c r="CM18" s="95">
        <v>0</v>
      </c>
      <c r="CN18" s="95">
        <v>1082.1500000000001</v>
      </c>
      <c r="CO18" s="94">
        <v>1177.3</v>
      </c>
      <c r="CP18" s="94">
        <v>1082.2</v>
      </c>
      <c r="CQ18" s="94">
        <v>1333.07</v>
      </c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>
        <v>1343.8</v>
      </c>
      <c r="DD18" s="94">
        <v>1343.8</v>
      </c>
      <c r="DE18" s="94"/>
      <c r="DF18" s="94">
        <v>1370.75</v>
      </c>
      <c r="DG18" s="94">
        <v>1370.8</v>
      </c>
      <c r="DH18" s="94"/>
      <c r="DI18" s="94"/>
      <c r="DJ18" s="94"/>
      <c r="DK18" s="94">
        <f>DG18/$DG$42*100</f>
        <v>3.2510761422523684</v>
      </c>
      <c r="DL18" s="94">
        <f>DH18/$DH$42*100</f>
        <v>0</v>
      </c>
      <c r="DM18" s="94">
        <f>DI18/$DI$42*100</f>
        <v>0</v>
      </c>
      <c r="DN18" s="94">
        <f>DJ18/$DJ$42*100</f>
        <v>0</v>
      </c>
      <c r="DO18" s="94">
        <f>DH18-DG18</f>
        <v>-1370.8</v>
      </c>
      <c r="DP18" s="94">
        <f>DH18/DG18*100-100</f>
        <v>-100</v>
      </c>
      <c r="DQ18" s="94">
        <v>1461.76</v>
      </c>
      <c r="DR18" s="94">
        <v>1461.8</v>
      </c>
      <c r="DS18" s="94">
        <v>1461.8</v>
      </c>
      <c r="DT18" s="94"/>
      <c r="DU18" s="94">
        <v>1868.39</v>
      </c>
      <c r="DV18" s="94">
        <v>1868.39</v>
      </c>
      <c r="DW18" s="94">
        <v>1424.06</v>
      </c>
      <c r="DX18" s="94">
        <v>1868.4</v>
      </c>
      <c r="DY18" s="94">
        <v>0</v>
      </c>
      <c r="DZ18" s="94">
        <v>0</v>
      </c>
      <c r="EA18" s="94">
        <v>0</v>
      </c>
      <c r="EB18" s="93">
        <v>1976.4</v>
      </c>
      <c r="EC18" s="93">
        <v>1976.4</v>
      </c>
      <c r="ED18" s="93">
        <v>1976.4</v>
      </c>
      <c r="EE18" s="92">
        <f>EC18-EB18</f>
        <v>0</v>
      </c>
      <c r="EF18" s="92">
        <f>EC18/EB18*100</f>
        <v>100</v>
      </c>
      <c r="EG18" s="92">
        <f>EC18-ED18</f>
        <v>0</v>
      </c>
      <c r="EH18" s="92">
        <f>ED18/EC18*100</f>
        <v>100</v>
      </c>
      <c r="EI18" s="92">
        <v>0</v>
      </c>
      <c r="EJ18" s="92">
        <f>ED18/EB18*100</f>
        <v>100</v>
      </c>
      <c r="EK18" s="92">
        <f>ED18/DS18*100</f>
        <v>135.20317416883296</v>
      </c>
      <c r="EL18" s="92">
        <f>EB18-DT18</f>
        <v>1976.4</v>
      </c>
      <c r="EM18" s="92">
        <v>100</v>
      </c>
      <c r="EN18" s="67"/>
    </row>
    <row r="19" spans="1:144" ht="12.75" customHeight="1" x14ac:dyDescent="0.2">
      <c r="A19" s="138" t="s">
        <v>276</v>
      </c>
      <c r="B19" s="115" t="s">
        <v>248</v>
      </c>
      <c r="C19" s="115" t="s">
        <v>249</v>
      </c>
      <c r="D19" s="111">
        <v>191.02099999999999</v>
      </c>
      <c r="E19" s="107" t="s">
        <v>275</v>
      </c>
      <c r="F19" s="94">
        <v>234.02</v>
      </c>
      <c r="G19" s="94">
        <f>F19-E19</f>
        <v>50.02000000000001</v>
      </c>
      <c r="H19" s="106"/>
      <c r="I19" s="94">
        <v>234.02</v>
      </c>
      <c r="J19" s="83">
        <f>I19-F19</f>
        <v>0</v>
      </c>
      <c r="K19" s="94">
        <f>234.02</f>
        <v>234.02</v>
      </c>
      <c r="L19" s="105">
        <f>K19/E19*100</f>
        <v>127.18478260869566</v>
      </c>
      <c r="M19" s="105">
        <f>K19/F19*100</f>
        <v>100</v>
      </c>
      <c r="N19" s="105">
        <f>K19/$K$42*100</f>
        <v>0.56538445853264252</v>
      </c>
      <c r="O19" s="105">
        <f>K19-F19</f>
        <v>0</v>
      </c>
      <c r="P19" s="105">
        <v>0</v>
      </c>
      <c r="Q19" s="114">
        <v>184</v>
      </c>
      <c r="R19" s="102">
        <v>184</v>
      </c>
      <c r="S19" s="100">
        <f>R19/Q19</f>
        <v>1</v>
      </c>
      <c r="T19" s="102">
        <v>490</v>
      </c>
      <c r="U19" s="100">
        <f>T19/R19</f>
        <v>2.6630434782608696</v>
      </c>
      <c r="V19" s="94">
        <f>T19-R19</f>
        <v>306</v>
      </c>
      <c r="W19" s="102">
        <v>490</v>
      </c>
      <c r="X19" s="102">
        <v>490</v>
      </c>
      <c r="Y19" s="104">
        <f>T19/$T$42</f>
        <v>1.6204936222001014E-2</v>
      </c>
      <c r="Z19" s="104">
        <f>W19/$W$42</f>
        <v>1.8863058048173939E-2</v>
      </c>
      <c r="AA19" s="104">
        <f>X19/$X$42</f>
        <v>1.792068815442513E-2</v>
      </c>
      <c r="AB19" s="103">
        <f>U19-100%</f>
        <v>1.6630434782608696</v>
      </c>
      <c r="AC19" s="102">
        <v>184</v>
      </c>
      <c r="AD19" s="102">
        <v>332.7</v>
      </c>
      <c r="AE19" s="101">
        <v>332.70400000000001</v>
      </c>
      <c r="AF19" s="101">
        <v>332.70400000000001</v>
      </c>
      <c r="AG19" s="100">
        <f>AF19/AE19</f>
        <v>1</v>
      </c>
      <c r="AH19" s="94">
        <f>AE19-AF19</f>
        <v>0</v>
      </c>
      <c r="AI19" s="100">
        <f>AF19/AC19</f>
        <v>1.8081739130434784</v>
      </c>
      <c r="AJ19" s="100">
        <f>AF19/AD19</f>
        <v>1.0000120228434026</v>
      </c>
      <c r="AK19" s="100">
        <f>AE19/AC19</f>
        <v>1.8081739130434784</v>
      </c>
      <c r="AL19" s="100">
        <f>AF19/$AF$42</f>
        <v>8.1873043726570071E-3</v>
      </c>
      <c r="AM19" s="94">
        <f>AD19-AC19</f>
        <v>148.69999999999999</v>
      </c>
      <c r="AN19" s="99">
        <f>AE19-AD19</f>
        <v>4.0000000000190994E-3</v>
      </c>
      <c r="AO19" s="98">
        <f>AE19/AD19</f>
        <v>1.0000120228434026</v>
      </c>
      <c r="AP19" s="93">
        <v>490</v>
      </c>
      <c r="AQ19" s="93">
        <v>490</v>
      </c>
      <c r="AR19" s="93"/>
      <c r="AS19" s="93">
        <v>198.9</v>
      </c>
      <c r="AT19" s="93">
        <v>298.8</v>
      </c>
      <c r="AU19" s="94">
        <f>AT19-AP19</f>
        <v>-191.2</v>
      </c>
      <c r="AV19" s="94">
        <f>AT19/AP19*100</f>
        <v>60.979591836734691</v>
      </c>
      <c r="AW19" s="94">
        <v>298.8</v>
      </c>
      <c r="AX19" s="94">
        <f>AW19-AT19</f>
        <v>0</v>
      </c>
      <c r="AY19" s="94">
        <v>298.8</v>
      </c>
      <c r="AZ19" s="94">
        <f>AT19-AY19</f>
        <v>0</v>
      </c>
      <c r="BA19" s="94">
        <f>AY19/AT19*100</f>
        <v>100</v>
      </c>
      <c r="BB19" s="94">
        <f>AY19/AW19*100</f>
        <v>100</v>
      </c>
      <c r="BC19" s="94">
        <f>AY19/AP19*100</f>
        <v>60.979591836734691</v>
      </c>
      <c r="BD19" s="97">
        <f>AY19/AF19*100</f>
        <v>89.809560450129851</v>
      </c>
      <c r="BE19" s="93">
        <v>490</v>
      </c>
      <c r="BF19" s="94">
        <f>BE19/AP19*100</f>
        <v>100</v>
      </c>
      <c r="BG19" s="94">
        <f>BE19-AT19</f>
        <v>191.2</v>
      </c>
      <c r="BH19" s="93">
        <v>490</v>
      </c>
      <c r="BI19" s="93">
        <v>490</v>
      </c>
      <c r="BJ19" s="96">
        <f>BE19/$BE$42*100</f>
        <v>1.8465202514282271</v>
      </c>
      <c r="BK19" s="96">
        <f>BH19/$BH$42*100</f>
        <v>1.9401176740760688</v>
      </c>
      <c r="BL19" s="96">
        <f>BI19/$BI$42*100</f>
        <v>1.783939447998165</v>
      </c>
      <c r="BM19" s="94">
        <v>490</v>
      </c>
      <c r="BN19" s="94">
        <v>490</v>
      </c>
      <c r="BO19" s="94">
        <v>99.9</v>
      </c>
      <c r="BP19" s="94">
        <v>490</v>
      </c>
      <c r="BQ19" s="94">
        <v>350.9</v>
      </c>
      <c r="BR19" s="94">
        <v>350.9</v>
      </c>
      <c r="BS19" s="94">
        <v>150.5</v>
      </c>
      <c r="BT19" s="94">
        <v>150.5</v>
      </c>
      <c r="BU19" s="94">
        <v>150.5</v>
      </c>
      <c r="BV19" s="94">
        <v>150.5</v>
      </c>
      <c r="BW19" s="94">
        <v>150.5</v>
      </c>
      <c r="BX19" s="94">
        <v>150.5</v>
      </c>
      <c r="BY19" s="94">
        <v>150.5</v>
      </c>
      <c r="BZ19" s="94">
        <v>150.5</v>
      </c>
      <c r="CA19" s="94">
        <v>150.5</v>
      </c>
      <c r="CB19" s="94">
        <v>150.5</v>
      </c>
      <c r="CC19" s="94">
        <v>150.5</v>
      </c>
      <c r="CD19" s="94">
        <v>150.5</v>
      </c>
      <c r="CE19" s="94">
        <v>150.5</v>
      </c>
      <c r="CF19" s="94">
        <v>150.5</v>
      </c>
      <c r="CG19" s="94">
        <v>150.5</v>
      </c>
      <c r="CH19" s="94">
        <v>150.5</v>
      </c>
      <c r="CI19" s="94">
        <v>150.5</v>
      </c>
      <c r="CJ19" s="94">
        <v>150.5</v>
      </c>
      <c r="CK19" s="94">
        <v>150.5</v>
      </c>
      <c r="CL19" s="94">
        <v>150.5</v>
      </c>
      <c r="CM19" s="95">
        <v>490</v>
      </c>
      <c r="CN19" s="95">
        <v>236.5</v>
      </c>
      <c r="CO19" s="94">
        <v>143</v>
      </c>
      <c r="CP19" s="94">
        <v>236.5</v>
      </c>
      <c r="CQ19" s="94">
        <v>173.12</v>
      </c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>
        <v>172.7</v>
      </c>
      <c r="DD19" s="94">
        <v>172.7</v>
      </c>
      <c r="DE19" s="94">
        <v>490</v>
      </c>
      <c r="DF19" s="94">
        <v>246.2</v>
      </c>
      <c r="DG19" s="94">
        <v>246.2</v>
      </c>
      <c r="DH19" s="94">
        <v>490</v>
      </c>
      <c r="DI19" s="94">
        <v>490</v>
      </c>
      <c r="DJ19" s="94">
        <v>490</v>
      </c>
      <c r="DK19" s="94">
        <f>DG19/$DG$42*100</f>
        <v>0.58390352073426688</v>
      </c>
      <c r="DL19" s="94">
        <f>DH19/$DH$42*100</f>
        <v>1.5955403020455479</v>
      </c>
      <c r="DM19" s="94">
        <f>DI19/$DI$42*100</f>
        <v>1.6309792865630606</v>
      </c>
      <c r="DN19" s="94">
        <f>DJ19/$DJ$42*100</f>
        <v>1.6303280952111607</v>
      </c>
      <c r="DO19" s="94">
        <f>DH19-DG19</f>
        <v>243.8</v>
      </c>
      <c r="DP19" s="94">
        <f>DH19/DG19*100-100</f>
        <v>99.025182778229095</v>
      </c>
      <c r="DQ19" s="94">
        <v>246.18</v>
      </c>
      <c r="DR19" s="94">
        <v>246.2</v>
      </c>
      <c r="DS19" s="94">
        <v>246.2</v>
      </c>
      <c r="DT19" s="94">
        <v>490</v>
      </c>
      <c r="DU19" s="94">
        <v>235.5</v>
      </c>
      <c r="DV19" s="94">
        <v>235.5</v>
      </c>
      <c r="DW19" s="94">
        <v>165</v>
      </c>
      <c r="DX19" s="94">
        <v>235.5</v>
      </c>
      <c r="DY19" s="94">
        <v>490</v>
      </c>
      <c r="DZ19" s="94">
        <v>490</v>
      </c>
      <c r="EA19" s="94">
        <v>490</v>
      </c>
      <c r="EB19" s="93">
        <v>235.4</v>
      </c>
      <c r="EC19" s="93">
        <v>235.4</v>
      </c>
      <c r="ED19" s="93">
        <v>235.4</v>
      </c>
      <c r="EE19" s="92">
        <f>EC19-EB19</f>
        <v>0</v>
      </c>
      <c r="EF19" s="92">
        <f>EC19/EB19*100</f>
        <v>100</v>
      </c>
      <c r="EG19" s="92">
        <f>EC19-ED19</f>
        <v>0</v>
      </c>
      <c r="EH19" s="92">
        <f>ED19/EC19*100</f>
        <v>100</v>
      </c>
      <c r="EI19" s="92">
        <f>ED19/DT19*100</f>
        <v>48.04081632653061</v>
      </c>
      <c r="EJ19" s="92">
        <f>ED19/EB19*100</f>
        <v>100</v>
      </c>
      <c r="EK19" s="92">
        <f>ED19/DS19*100</f>
        <v>95.613322502030869</v>
      </c>
      <c r="EL19" s="92">
        <f>EB19-DT19</f>
        <v>-254.6</v>
      </c>
      <c r="EM19" s="92">
        <f>EB19/DT19*100</f>
        <v>48.04081632653061</v>
      </c>
      <c r="EN19" s="67"/>
    </row>
    <row r="20" spans="1:144" ht="23.25" customHeight="1" x14ac:dyDescent="0.2">
      <c r="A20" s="134" t="s">
        <v>274</v>
      </c>
      <c r="B20" s="115" t="s">
        <v>248</v>
      </c>
      <c r="C20" s="115" t="s">
        <v>273</v>
      </c>
      <c r="D20" s="108">
        <v>0</v>
      </c>
      <c r="E20" s="107"/>
      <c r="F20" s="94">
        <v>6368.63</v>
      </c>
      <c r="G20" s="94">
        <f>F20-E20</f>
        <v>6368.63</v>
      </c>
      <c r="H20" s="106">
        <v>1</v>
      </c>
      <c r="I20" s="94">
        <v>6368.6310000000003</v>
      </c>
      <c r="J20" s="83">
        <f>I20-F20</f>
        <v>1.0000000002037268E-3</v>
      </c>
      <c r="K20" s="94">
        <f>898+415.774+4284.01</f>
        <v>5597.7839999999997</v>
      </c>
      <c r="L20" s="105" t="e">
        <f>K20/E20*100</f>
        <v>#DIV/0!</v>
      </c>
      <c r="M20" s="105">
        <f>K20/F20*100</f>
        <v>87.896203736125344</v>
      </c>
      <c r="N20" s="105">
        <f>K20/$K$42*100</f>
        <v>13.524058096840822</v>
      </c>
      <c r="O20" s="105">
        <f>K20-F20</f>
        <v>-770.84600000000046</v>
      </c>
      <c r="P20" s="105">
        <v>100</v>
      </c>
      <c r="Q20" s="114">
        <v>5314.1</v>
      </c>
      <c r="R20" s="102">
        <v>5314.1</v>
      </c>
      <c r="S20" s="100">
        <f>R20/Q20</f>
        <v>1</v>
      </c>
      <c r="T20" s="102">
        <v>2798.3</v>
      </c>
      <c r="U20" s="100">
        <f>T20/R20</f>
        <v>0.52658022995427256</v>
      </c>
      <c r="V20" s="94">
        <f>T20-R20</f>
        <v>-2515.8000000000002</v>
      </c>
      <c r="W20" s="102">
        <v>2234.3000000000002</v>
      </c>
      <c r="X20" s="102">
        <v>1599.3</v>
      </c>
      <c r="Y20" s="104">
        <f>T20/$T$42</f>
        <v>9.2543414346990691E-2</v>
      </c>
      <c r="Z20" s="104">
        <f>W20/$W$42</f>
        <v>8.6011695095989868E-2</v>
      </c>
      <c r="AA20" s="104">
        <f>X20/$X$42</f>
        <v>5.8490931766065526E-2</v>
      </c>
      <c r="AB20" s="103">
        <f>U20-100%</f>
        <v>-0.47341977004572744</v>
      </c>
      <c r="AC20" s="102">
        <v>4339.5</v>
      </c>
      <c r="AD20" s="102">
        <v>5449</v>
      </c>
      <c r="AE20" s="101">
        <v>5449.1170000000002</v>
      </c>
      <c r="AF20" s="101">
        <f>824.79+3505.016+203.777</f>
        <v>4533.5830000000005</v>
      </c>
      <c r="AG20" s="100">
        <f>AF20/AE20</f>
        <v>0.83198488856084396</v>
      </c>
      <c r="AH20" s="94">
        <f>AE20-AF20</f>
        <v>915.53399999999965</v>
      </c>
      <c r="AI20" s="100">
        <f>AF20/AC20</f>
        <v>1.0447247378730269</v>
      </c>
      <c r="AJ20" s="100">
        <f>AF20/AD20</f>
        <v>0.83200275279867875</v>
      </c>
      <c r="AK20" s="100">
        <f>AE20/AC20</f>
        <v>1.2557015785228713</v>
      </c>
      <c r="AL20" s="100">
        <f>AF20/$AF$42</f>
        <v>0.11156410478895197</v>
      </c>
      <c r="AM20" s="94">
        <f>AD20-AC20</f>
        <v>1109.5</v>
      </c>
      <c r="AN20" s="99">
        <f>AE20-AD20</f>
        <v>0.11700000000018917</v>
      </c>
      <c r="AO20" s="98">
        <f>AE20/AD20</f>
        <v>1.0000214718296936</v>
      </c>
      <c r="AP20" s="93">
        <v>2798.3</v>
      </c>
      <c r="AQ20" s="93">
        <v>3966.8</v>
      </c>
      <c r="AR20" s="93"/>
      <c r="AS20" s="93">
        <v>2560</v>
      </c>
      <c r="AT20" s="93">
        <v>3814</v>
      </c>
      <c r="AU20" s="94">
        <f>AT20-AP20</f>
        <v>1015.6999999999998</v>
      </c>
      <c r="AV20" s="94">
        <f>AT20/AP20*100</f>
        <v>136.29703748704569</v>
      </c>
      <c r="AW20" s="94">
        <v>3814.1</v>
      </c>
      <c r="AX20" s="94">
        <f>AW20-AT20</f>
        <v>9.9999999999909051E-2</v>
      </c>
      <c r="AY20" s="94">
        <v>3814.1</v>
      </c>
      <c r="AZ20" s="94">
        <f>AT20-AY20</f>
        <v>-9.9999999999909051E-2</v>
      </c>
      <c r="BA20" s="94">
        <f>AY20/AT20*100</f>
        <v>100.00262191924489</v>
      </c>
      <c r="BB20" s="94">
        <f>AY20/AW20*100</f>
        <v>100</v>
      </c>
      <c r="BC20" s="94">
        <f>AY20/AP20*100</f>
        <v>136.3006110853018</v>
      </c>
      <c r="BD20" s="97">
        <f>AY20/AF20*100</f>
        <v>84.12992549160343</v>
      </c>
      <c r="BE20" s="93">
        <v>2234.6</v>
      </c>
      <c r="BF20" s="94">
        <f>BE20/AP20*100</f>
        <v>79.855626630454196</v>
      </c>
      <c r="BG20" s="94">
        <f>BE20-AT20</f>
        <v>-1579.4</v>
      </c>
      <c r="BH20" s="93">
        <v>1704.6</v>
      </c>
      <c r="BI20" s="93">
        <v>976.4</v>
      </c>
      <c r="BJ20" s="96">
        <f>BE20/$BE$42*100</f>
        <v>8.4208860282479918</v>
      </c>
      <c r="BK20" s="96">
        <f>BH20/$BH$42*100</f>
        <v>6.7492338514899313</v>
      </c>
      <c r="BL20" s="96">
        <f>BI20/$BI$42*100</f>
        <v>3.5547724020926701</v>
      </c>
      <c r="BM20" s="94">
        <v>2234.6</v>
      </c>
      <c r="BN20" s="94">
        <v>2234.6</v>
      </c>
      <c r="BO20" s="94">
        <v>1655.7</v>
      </c>
      <c r="BP20" s="94">
        <v>2234.6</v>
      </c>
      <c r="BQ20" s="94">
        <v>2264.1</v>
      </c>
      <c r="BR20" s="94">
        <v>2264.1</v>
      </c>
      <c r="BS20" s="94">
        <v>2264.1</v>
      </c>
      <c r="BT20" s="94">
        <v>2264.1</v>
      </c>
      <c r="BU20" s="94">
        <v>2264.1</v>
      </c>
      <c r="BV20" s="94">
        <v>2264.1</v>
      </c>
      <c r="BW20" s="94">
        <v>2264.1</v>
      </c>
      <c r="BX20" s="94">
        <v>2264.1</v>
      </c>
      <c r="BY20" s="94">
        <v>2264.1</v>
      </c>
      <c r="BZ20" s="94">
        <v>2264.1</v>
      </c>
      <c r="CA20" s="94">
        <v>2264.1</v>
      </c>
      <c r="CB20" s="94">
        <v>2264.1</v>
      </c>
      <c r="CC20" s="94">
        <v>2264.1</v>
      </c>
      <c r="CD20" s="94">
        <v>2264.1</v>
      </c>
      <c r="CE20" s="94">
        <v>2264.1</v>
      </c>
      <c r="CF20" s="94">
        <v>2264.1</v>
      </c>
      <c r="CG20" s="94">
        <v>2264.1</v>
      </c>
      <c r="CH20" s="94">
        <v>2264.1</v>
      </c>
      <c r="CI20" s="94">
        <v>2264.1</v>
      </c>
      <c r="CJ20" s="94">
        <v>2264.1</v>
      </c>
      <c r="CK20" s="94">
        <v>2264.1</v>
      </c>
      <c r="CL20" s="94">
        <v>2264.1</v>
      </c>
      <c r="CM20" s="95">
        <v>2586.4</v>
      </c>
      <c r="CN20" s="95">
        <v>2920.4</v>
      </c>
      <c r="CO20" s="94">
        <v>2086.6</v>
      </c>
      <c r="CP20" s="94">
        <v>2920.4</v>
      </c>
      <c r="CQ20" s="94">
        <v>2920.4</v>
      </c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>
        <v>2920.4</v>
      </c>
      <c r="DD20" s="94">
        <v>2920.4</v>
      </c>
      <c r="DE20" s="94">
        <v>4023.3</v>
      </c>
      <c r="DF20" s="94">
        <v>5808.9</v>
      </c>
      <c r="DG20" s="94">
        <v>5808.9</v>
      </c>
      <c r="DH20" s="94">
        <v>3159.8</v>
      </c>
      <c r="DI20" s="94">
        <v>3131.3</v>
      </c>
      <c r="DJ20" s="94">
        <v>3131.3</v>
      </c>
      <c r="DK20" s="94">
        <f>DG20/$DG$42*100</f>
        <v>13.776755327348834</v>
      </c>
      <c r="DL20" s="94">
        <f>DH20/$DH$42*100</f>
        <v>10.288955604905148</v>
      </c>
      <c r="DM20" s="94">
        <f>DI20/$DI$42*100</f>
        <v>10.422623346969209</v>
      </c>
      <c r="DN20" s="94">
        <f>DJ20/$DJ$42*100</f>
        <v>10.41846196843818</v>
      </c>
      <c r="DO20" s="94">
        <f>DH20-DG20</f>
        <v>-2649.0999999999995</v>
      </c>
      <c r="DP20" s="94">
        <f>DH20/DG20*100-100</f>
        <v>-45.604159135120234</v>
      </c>
      <c r="DQ20" s="94">
        <v>5003.99</v>
      </c>
      <c r="DR20" s="94">
        <v>5004</v>
      </c>
      <c r="DS20" s="94">
        <v>4958.8999999999996</v>
      </c>
      <c r="DT20" s="94">
        <v>3159.8</v>
      </c>
      <c r="DU20" s="94">
        <v>3469.66</v>
      </c>
      <c r="DV20" s="94">
        <v>3469.66</v>
      </c>
      <c r="DW20" s="94">
        <v>2444</v>
      </c>
      <c r="DX20" s="94">
        <v>3471.2</v>
      </c>
      <c r="DY20" s="94">
        <v>3566</v>
      </c>
      <c r="DZ20" s="94">
        <v>3653.9</v>
      </c>
      <c r="EA20" s="94">
        <v>2995.8</v>
      </c>
      <c r="EB20" s="93">
        <v>3469.7</v>
      </c>
      <c r="EC20" s="93">
        <v>3469.7</v>
      </c>
      <c r="ED20" s="93">
        <v>2968.3</v>
      </c>
      <c r="EE20" s="92">
        <f>EC20-EB20</f>
        <v>0</v>
      </c>
      <c r="EF20" s="92">
        <f>EC20/EB20*100</f>
        <v>100</v>
      </c>
      <c r="EG20" s="92">
        <f>EC20-ED20</f>
        <v>501.39999999999964</v>
      </c>
      <c r="EH20" s="92">
        <f>ED20/EC20*100</f>
        <v>85.549182926477812</v>
      </c>
      <c r="EI20" s="92">
        <f>ED20/DT20*100</f>
        <v>93.939489841129188</v>
      </c>
      <c r="EJ20" s="92">
        <f>ED20/EB20*100</f>
        <v>85.549182926477812</v>
      </c>
      <c r="EK20" s="92">
        <f>ED20/DS20*100</f>
        <v>59.858033031519099</v>
      </c>
      <c r="EL20" s="92">
        <f>EB20-DT20</f>
        <v>309.89999999999964</v>
      </c>
      <c r="EM20" s="92">
        <f>EB20/DT20*100</f>
        <v>109.80758275840242</v>
      </c>
      <c r="EN20" s="67"/>
    </row>
    <row r="21" spans="1:144" ht="12" customHeight="1" x14ac:dyDescent="0.2">
      <c r="A21" s="134" t="s">
        <v>272</v>
      </c>
      <c r="B21" s="115" t="s">
        <v>248</v>
      </c>
      <c r="C21" s="115" t="s">
        <v>244</v>
      </c>
      <c r="D21" s="111">
        <f>53.251+189.038</f>
        <v>242.28900000000002</v>
      </c>
      <c r="E21" s="107" t="s">
        <v>271</v>
      </c>
      <c r="F21" s="94">
        <v>373.71</v>
      </c>
      <c r="G21" s="94">
        <f>F21-E21</f>
        <v>147.70999999999998</v>
      </c>
      <c r="H21" s="106">
        <f>F21/E21</f>
        <v>1.6535840707964602</v>
      </c>
      <c r="I21" s="94">
        <v>373.71100000000001</v>
      </c>
      <c r="J21" s="83">
        <f>I21-F21</f>
        <v>1.0000000000331966E-3</v>
      </c>
      <c r="K21" s="94">
        <f>82.871+290.839</f>
        <v>373.71</v>
      </c>
      <c r="L21" s="105">
        <f>K21/E21*100</f>
        <v>165.35840707964601</v>
      </c>
      <c r="M21" s="105">
        <f>K21/F21*100</f>
        <v>100</v>
      </c>
      <c r="N21" s="105">
        <f>K21/$K$42*100</f>
        <v>0.90287080590647717</v>
      </c>
      <c r="O21" s="105">
        <f>K21-F21</f>
        <v>0</v>
      </c>
      <c r="P21" s="105">
        <f>K21/D21*100</f>
        <v>154.24142243354009</v>
      </c>
      <c r="Q21" s="114">
        <v>226</v>
      </c>
      <c r="R21" s="102">
        <v>226</v>
      </c>
      <c r="S21" s="100">
        <f>R21/Q21</f>
        <v>1</v>
      </c>
      <c r="T21" s="102">
        <v>226</v>
      </c>
      <c r="U21" s="100">
        <f>T21/R21</f>
        <v>1</v>
      </c>
      <c r="V21" s="94">
        <f>T21-R21</f>
        <v>0</v>
      </c>
      <c r="W21" s="102">
        <v>226</v>
      </c>
      <c r="X21" s="102">
        <v>226</v>
      </c>
      <c r="Y21" s="104">
        <f>T21/$T$42</f>
        <v>7.4741134411678142E-3</v>
      </c>
      <c r="Z21" s="104">
        <f>W21/$W$42</f>
        <v>8.7001043242598171E-3</v>
      </c>
      <c r="AA21" s="104">
        <f>X21/$X$42</f>
        <v>8.2654602508164879E-3</v>
      </c>
      <c r="AB21" s="103">
        <f>U21-100%</f>
        <v>0</v>
      </c>
      <c r="AC21" s="102">
        <v>226</v>
      </c>
      <c r="AD21" s="102">
        <v>313.60000000000002</v>
      </c>
      <c r="AE21" s="101">
        <v>313.59399999999999</v>
      </c>
      <c r="AF21" s="101">
        <f>76.67+4.8+232.124</f>
        <v>313.59399999999999</v>
      </c>
      <c r="AG21" s="100">
        <f>AF21/AE21</f>
        <v>1</v>
      </c>
      <c r="AH21" s="94">
        <f>AE21-AF21</f>
        <v>0</v>
      </c>
      <c r="AI21" s="100">
        <f>AF21/AC21</f>
        <v>1.3875840707964602</v>
      </c>
      <c r="AJ21" s="100">
        <f>AF21/AD21</f>
        <v>0.9999808673469387</v>
      </c>
      <c r="AK21" s="100">
        <f>AE21/AC21</f>
        <v>1.3875840707964602</v>
      </c>
      <c r="AL21" s="100">
        <f>AF21/$AF$42</f>
        <v>7.71703835072317E-3</v>
      </c>
      <c r="AM21" s="94">
        <f>AD21-AC21</f>
        <v>87.600000000000023</v>
      </c>
      <c r="AN21" s="99">
        <f>AE21-AD21</f>
        <v>-6.0000000000286491E-3</v>
      </c>
      <c r="AO21" s="98">
        <f>AE21/AD21</f>
        <v>0.9999808673469387</v>
      </c>
      <c r="AP21" s="93">
        <v>226</v>
      </c>
      <c r="AQ21" s="93">
        <v>284</v>
      </c>
      <c r="AR21" s="93"/>
      <c r="AS21" s="93">
        <v>233</v>
      </c>
      <c r="AT21" s="93">
        <v>291.5</v>
      </c>
      <c r="AU21" s="94">
        <f>AT21-AP21</f>
        <v>65.5</v>
      </c>
      <c r="AV21" s="94">
        <f>AT21/AP21*100</f>
        <v>128.98230088495575</v>
      </c>
      <c r="AW21" s="94">
        <v>291.5</v>
      </c>
      <c r="AX21" s="94">
        <f>AW21-AT21</f>
        <v>0</v>
      </c>
      <c r="AY21" s="94">
        <v>291.5</v>
      </c>
      <c r="AZ21" s="94">
        <f>AT21-AY21</f>
        <v>0</v>
      </c>
      <c r="BA21" s="94">
        <f>AY21/AT21*100</f>
        <v>100</v>
      </c>
      <c r="BB21" s="94">
        <f>AY21/AW21*100</f>
        <v>100</v>
      </c>
      <c r="BC21" s="94">
        <f>AY21/AP21*100</f>
        <v>128.98230088495575</v>
      </c>
      <c r="BD21" s="97">
        <f>AY21/AF21*100</f>
        <v>92.954584590266393</v>
      </c>
      <c r="BE21" s="93">
        <v>226</v>
      </c>
      <c r="BF21" s="94">
        <f>BE21/AP21*100</f>
        <v>100</v>
      </c>
      <c r="BG21" s="94">
        <f>BE21-AT21</f>
        <v>-65.5</v>
      </c>
      <c r="BH21" s="93">
        <v>226</v>
      </c>
      <c r="BI21" s="93">
        <v>226</v>
      </c>
      <c r="BJ21" s="96">
        <f>BE21/$BE$42*100</f>
        <v>0.85166036086281494</v>
      </c>
      <c r="BK21" s="96">
        <f>BH21/$BH$42*100</f>
        <v>0.89482978436977856</v>
      </c>
      <c r="BL21" s="96">
        <f>BI21/$BI$42*100</f>
        <v>0.8227965617297659</v>
      </c>
      <c r="BM21" s="94">
        <v>226</v>
      </c>
      <c r="BN21" s="94">
        <v>363</v>
      </c>
      <c r="BO21" s="94">
        <v>315.60000000000002</v>
      </c>
      <c r="BP21" s="94">
        <v>363</v>
      </c>
      <c r="BQ21" s="94">
        <v>443.8</v>
      </c>
      <c r="BR21" s="94">
        <v>443.8</v>
      </c>
      <c r="BS21" s="94">
        <v>443.8</v>
      </c>
      <c r="BT21" s="94">
        <v>443.8</v>
      </c>
      <c r="BU21" s="94">
        <v>443.8</v>
      </c>
      <c r="BV21" s="94">
        <v>443.8</v>
      </c>
      <c r="BW21" s="94">
        <v>443.8</v>
      </c>
      <c r="BX21" s="94">
        <v>443.8</v>
      </c>
      <c r="BY21" s="94">
        <v>443.8</v>
      </c>
      <c r="BZ21" s="94">
        <v>443.8</v>
      </c>
      <c r="CA21" s="94">
        <v>443.8</v>
      </c>
      <c r="CB21" s="94">
        <v>443.8</v>
      </c>
      <c r="CC21" s="94">
        <v>443.8</v>
      </c>
      <c r="CD21" s="94">
        <v>443.8</v>
      </c>
      <c r="CE21" s="94">
        <v>443.8</v>
      </c>
      <c r="CF21" s="94">
        <v>443.8</v>
      </c>
      <c r="CG21" s="94">
        <v>443.8</v>
      </c>
      <c r="CH21" s="94">
        <v>443.8</v>
      </c>
      <c r="CI21" s="94">
        <v>443.8</v>
      </c>
      <c r="CJ21" s="94">
        <v>443.8</v>
      </c>
      <c r="CK21" s="94">
        <v>443.8</v>
      </c>
      <c r="CL21" s="94">
        <v>443.8</v>
      </c>
      <c r="CM21" s="95">
        <v>226</v>
      </c>
      <c r="CN21" s="95">
        <v>620</v>
      </c>
      <c r="CO21" s="94">
        <v>600.1</v>
      </c>
      <c r="CP21" s="94">
        <v>620</v>
      </c>
      <c r="CQ21" s="94">
        <v>651.14</v>
      </c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>
        <v>651.1</v>
      </c>
      <c r="DD21" s="94">
        <v>651.1</v>
      </c>
      <c r="DE21" s="94">
        <v>226</v>
      </c>
      <c r="DF21" s="94">
        <v>554.02</v>
      </c>
      <c r="DG21" s="94">
        <v>554</v>
      </c>
      <c r="DH21" s="94">
        <v>226</v>
      </c>
      <c r="DI21" s="94">
        <v>226</v>
      </c>
      <c r="DJ21" s="94">
        <v>226</v>
      </c>
      <c r="DK21" s="94">
        <f>DG21/$DG$42*100</f>
        <v>1.3139015048204055</v>
      </c>
      <c r="DL21" s="94">
        <f>DH21/$DH$42*100</f>
        <v>0.73590226175978324</v>
      </c>
      <c r="DM21" s="94">
        <f>DI21/$DI$42*100</f>
        <v>0.7522475893127587</v>
      </c>
      <c r="DN21" s="94">
        <f>DJ21/$DJ$42*100</f>
        <v>0.75194724391371903</v>
      </c>
      <c r="DO21" s="94">
        <f>DH21-DG21</f>
        <v>-328</v>
      </c>
      <c r="DP21" s="94">
        <f>DH21/DG21*100-100</f>
        <v>-59.205776173285194</v>
      </c>
      <c r="DQ21" s="94">
        <v>482.14</v>
      </c>
      <c r="DR21" s="94">
        <v>482.1</v>
      </c>
      <c r="DS21" s="94">
        <v>482.1</v>
      </c>
      <c r="DT21" s="94">
        <v>226</v>
      </c>
      <c r="DU21" s="94">
        <v>416</v>
      </c>
      <c r="DV21" s="94">
        <v>416</v>
      </c>
      <c r="DW21" s="94">
        <v>276.97000000000003</v>
      </c>
      <c r="DX21" s="94">
        <v>416</v>
      </c>
      <c r="DY21" s="94">
        <v>226</v>
      </c>
      <c r="DZ21" s="94">
        <v>226</v>
      </c>
      <c r="EA21" s="94">
        <v>226</v>
      </c>
      <c r="EB21" s="93">
        <v>433.2</v>
      </c>
      <c r="EC21" s="93">
        <v>433.2</v>
      </c>
      <c r="ED21" s="93">
        <v>433.2</v>
      </c>
      <c r="EE21" s="92">
        <f>EC21-EB21</f>
        <v>0</v>
      </c>
      <c r="EF21" s="92">
        <f>EC21/EB21*100</f>
        <v>100</v>
      </c>
      <c r="EG21" s="92">
        <f>EC21-ED21</f>
        <v>0</v>
      </c>
      <c r="EH21" s="92">
        <f>ED21/EC21*100</f>
        <v>100</v>
      </c>
      <c r="EI21" s="92">
        <f>ED21/DT21*100</f>
        <v>191.68141592920352</v>
      </c>
      <c r="EJ21" s="92">
        <f>ED21/EB21*100</f>
        <v>100</v>
      </c>
      <c r="EK21" s="92">
        <f>ED21/DS21*100</f>
        <v>89.856876166770377</v>
      </c>
      <c r="EL21" s="92">
        <f>EB21-DT21</f>
        <v>207.2</v>
      </c>
      <c r="EM21" s="92">
        <f>EB21/DT21*100</f>
        <v>191.68141592920352</v>
      </c>
      <c r="EN21" s="67"/>
    </row>
    <row r="22" spans="1:144" ht="22.5" hidden="1" customHeight="1" x14ac:dyDescent="0.2">
      <c r="A22" s="134" t="s">
        <v>270</v>
      </c>
      <c r="B22" s="115" t="s">
        <v>248</v>
      </c>
      <c r="C22" s="115" t="s">
        <v>269</v>
      </c>
      <c r="D22" s="108">
        <f>20</f>
        <v>20</v>
      </c>
      <c r="E22" s="107" t="s">
        <v>268</v>
      </c>
      <c r="F22" s="94">
        <v>1160</v>
      </c>
      <c r="G22" s="94">
        <f>F22-E22</f>
        <v>1143</v>
      </c>
      <c r="H22" s="106">
        <f>F22/E22</f>
        <v>68.235294117647058</v>
      </c>
      <c r="I22" s="94">
        <v>1160</v>
      </c>
      <c r="J22" s="83">
        <f>I22-F22</f>
        <v>0</v>
      </c>
      <c r="K22" s="94">
        <f>1140+20</f>
        <v>1160</v>
      </c>
      <c r="L22" s="105">
        <f>K22/E22*100</f>
        <v>6823.5294117647054</v>
      </c>
      <c r="M22" s="105">
        <f>K22/F22*100</f>
        <v>100</v>
      </c>
      <c r="N22" s="105">
        <f>K22/$K$42*100</f>
        <v>2.8025210319539582</v>
      </c>
      <c r="O22" s="105">
        <f>K22-F22</f>
        <v>0</v>
      </c>
      <c r="P22" s="105">
        <v>0</v>
      </c>
      <c r="Q22" s="114">
        <v>107</v>
      </c>
      <c r="R22" s="102">
        <v>107</v>
      </c>
      <c r="S22" s="100">
        <f>R22/Q22</f>
        <v>1</v>
      </c>
      <c r="T22" s="102">
        <v>17</v>
      </c>
      <c r="U22" s="100">
        <f>T22/R22</f>
        <v>0.15887850467289719</v>
      </c>
      <c r="V22" s="94">
        <f>T22-R22</f>
        <v>-90</v>
      </c>
      <c r="W22" s="102">
        <v>17</v>
      </c>
      <c r="X22" s="102">
        <v>17</v>
      </c>
      <c r="Y22" s="104">
        <f>T22/$T$42</f>
        <v>5.6221207300819842E-4</v>
      </c>
      <c r="Z22" s="104">
        <f>W22/$W$42</f>
        <v>6.5443262616113665E-4</v>
      </c>
      <c r="AA22" s="104">
        <f>X22/$X$42</f>
        <v>6.2173816045964735E-4</v>
      </c>
      <c r="AB22" s="103">
        <f>U22-100%</f>
        <v>-0.84112149532710279</v>
      </c>
      <c r="AC22" s="102">
        <v>17</v>
      </c>
      <c r="AD22" s="102">
        <v>107</v>
      </c>
      <c r="AE22" s="101">
        <v>106.886</v>
      </c>
      <c r="AF22" s="101">
        <f>16.886+86+4</f>
        <v>106.886</v>
      </c>
      <c r="AG22" s="100">
        <f>AF22/AE22</f>
        <v>1</v>
      </c>
      <c r="AH22" s="94">
        <f>AE22-AF22</f>
        <v>0</v>
      </c>
      <c r="AI22" s="100">
        <f>AF22/AC22</f>
        <v>6.2874117647058823</v>
      </c>
      <c r="AJ22" s="100">
        <f>AF22/AD22</f>
        <v>0.99893457943925235</v>
      </c>
      <c r="AK22" s="100">
        <f>AE22/AC22</f>
        <v>6.2874117647058823</v>
      </c>
      <c r="AL22" s="100">
        <f>AF22/$AF$42</f>
        <v>2.6302906342449048E-3</v>
      </c>
      <c r="AM22" s="94">
        <f>AD22-AC22</f>
        <v>90</v>
      </c>
      <c r="AN22" s="99">
        <f>AE22-AD22</f>
        <v>-0.11400000000000432</v>
      </c>
      <c r="AO22" s="98">
        <f>AE22/AD22</f>
        <v>0.99893457943925235</v>
      </c>
      <c r="AP22" s="93">
        <v>17</v>
      </c>
      <c r="AQ22" s="93">
        <v>17</v>
      </c>
      <c r="AR22" s="93"/>
      <c r="AS22" s="93">
        <v>0</v>
      </c>
      <c r="AT22" s="93">
        <v>17</v>
      </c>
      <c r="AU22" s="94">
        <f>AT22-AP22</f>
        <v>0</v>
      </c>
      <c r="AV22" s="94">
        <f>AT22/AP22*100</f>
        <v>100</v>
      </c>
      <c r="AW22" s="94">
        <v>17</v>
      </c>
      <c r="AX22" s="94">
        <f>AW22-AT22</f>
        <v>0</v>
      </c>
      <c r="AY22" s="94">
        <v>17</v>
      </c>
      <c r="AZ22" s="94">
        <f>AT22-AY22</f>
        <v>0</v>
      </c>
      <c r="BA22" s="94">
        <f>AY22/AT22*100</f>
        <v>100</v>
      </c>
      <c r="BB22" s="94">
        <f>AY22/AW22*100</f>
        <v>100</v>
      </c>
      <c r="BC22" s="94">
        <f>AY22/AP22*100</f>
        <v>100</v>
      </c>
      <c r="BD22" s="97">
        <f>AY22/AF22*100</f>
        <v>15.904795763710869</v>
      </c>
      <c r="BE22" s="93">
        <v>17</v>
      </c>
      <c r="BF22" s="94">
        <f>BE22/AP22*100</f>
        <v>100</v>
      </c>
      <c r="BG22" s="94">
        <f>BE22-AT22</f>
        <v>0</v>
      </c>
      <c r="BH22" s="93">
        <v>17</v>
      </c>
      <c r="BI22" s="93">
        <v>17</v>
      </c>
      <c r="BJ22" s="96">
        <f>BE22/$BE$42*100</f>
        <v>6.4062947498530323E-2</v>
      </c>
      <c r="BK22" s="96">
        <f>BH22/$BH$42*100</f>
        <v>6.7310205018965646E-2</v>
      </c>
      <c r="BL22" s="96">
        <f>BI22/$BI$42*100</f>
        <v>6.1891776767283281E-2</v>
      </c>
      <c r="BM22" s="94">
        <v>17</v>
      </c>
      <c r="BN22" s="94">
        <v>107</v>
      </c>
      <c r="BO22" s="94">
        <v>96</v>
      </c>
      <c r="BP22" s="94">
        <v>107</v>
      </c>
      <c r="BQ22" s="94">
        <v>113</v>
      </c>
      <c r="BR22" s="94">
        <v>113</v>
      </c>
      <c r="BS22" s="94">
        <v>113</v>
      </c>
      <c r="BT22" s="94">
        <v>113</v>
      </c>
      <c r="BU22" s="94">
        <v>113</v>
      </c>
      <c r="BV22" s="94">
        <v>113</v>
      </c>
      <c r="BW22" s="94">
        <v>113</v>
      </c>
      <c r="BX22" s="94">
        <v>113</v>
      </c>
      <c r="BY22" s="94">
        <v>113</v>
      </c>
      <c r="BZ22" s="94">
        <v>113</v>
      </c>
      <c r="CA22" s="94">
        <v>113</v>
      </c>
      <c r="CB22" s="94">
        <v>113</v>
      </c>
      <c r="CC22" s="94">
        <v>113</v>
      </c>
      <c r="CD22" s="94">
        <v>113</v>
      </c>
      <c r="CE22" s="94">
        <v>113</v>
      </c>
      <c r="CF22" s="94">
        <v>113</v>
      </c>
      <c r="CG22" s="94">
        <v>113</v>
      </c>
      <c r="CH22" s="94">
        <v>113</v>
      </c>
      <c r="CI22" s="94">
        <v>113</v>
      </c>
      <c r="CJ22" s="94">
        <v>113</v>
      </c>
      <c r="CK22" s="94">
        <v>113</v>
      </c>
      <c r="CL22" s="94">
        <v>113</v>
      </c>
      <c r="CM22" s="95">
        <v>192</v>
      </c>
      <c r="CN22" s="95">
        <v>192</v>
      </c>
      <c r="CO22" s="94">
        <v>192</v>
      </c>
      <c r="CP22" s="94">
        <v>192</v>
      </c>
      <c r="CQ22" s="94">
        <v>192</v>
      </c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>
        <v>192</v>
      </c>
      <c r="DD22" s="94">
        <v>192</v>
      </c>
      <c r="DE22" s="94">
        <v>197</v>
      </c>
      <c r="DF22" s="94"/>
      <c r="DG22" s="94"/>
      <c r="DH22" s="94"/>
      <c r="DI22" s="94"/>
      <c r="DJ22" s="94"/>
      <c r="DK22" s="94">
        <f>DG22/$DG$42*100</f>
        <v>0</v>
      </c>
      <c r="DL22" s="94">
        <f>DH22/$DH$42*100</f>
        <v>0</v>
      </c>
      <c r="DM22" s="94">
        <f>DI22/$DI$42*100</f>
        <v>0</v>
      </c>
      <c r="DN22" s="94">
        <f>DJ22/$DJ$42*100</f>
        <v>0</v>
      </c>
      <c r="DO22" s="94">
        <f>DH22-DG22</f>
        <v>0</v>
      </c>
      <c r="DP22" s="94" t="e">
        <f>DH22/DG22*100-100</f>
        <v>#DIV/0!</v>
      </c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3"/>
      <c r="EC22" s="93"/>
      <c r="ED22" s="93"/>
      <c r="EE22" s="92">
        <f>EC22-EB22</f>
        <v>0</v>
      </c>
      <c r="EF22" s="92" t="e">
        <f>EC22/EB22*100</f>
        <v>#DIV/0!</v>
      </c>
      <c r="EG22" s="92">
        <f>EC22-ED22</f>
        <v>0</v>
      </c>
      <c r="EH22" s="92" t="e">
        <f>ED22/EC22*100</f>
        <v>#DIV/0!</v>
      </c>
      <c r="EI22" s="92" t="e">
        <f>ED22/DT22*100</f>
        <v>#DIV/0!</v>
      </c>
      <c r="EJ22" s="92" t="e">
        <f>ED22/EB22*100</f>
        <v>#DIV/0!</v>
      </c>
      <c r="EK22" s="92" t="e">
        <f>ED22/DS22*100</f>
        <v>#DIV/0!</v>
      </c>
      <c r="EL22" s="92">
        <f>EB22-DT22</f>
        <v>0</v>
      </c>
      <c r="EM22" s="92" t="e">
        <f>EB22/DT22*100</f>
        <v>#DIV/0!</v>
      </c>
      <c r="EN22" s="67"/>
    </row>
    <row r="23" spans="1:144" s="85" customFormat="1" ht="22.5" customHeight="1" x14ac:dyDescent="0.2">
      <c r="A23" s="91" t="s">
        <v>267</v>
      </c>
      <c r="B23" s="133" t="s">
        <v>262</v>
      </c>
      <c r="C23" s="133"/>
      <c r="D23" s="79">
        <f>D24+D26+D25</f>
        <v>13451.347000000002</v>
      </c>
      <c r="E23" s="83">
        <f>E24+E26+E25</f>
        <v>4906</v>
      </c>
      <c r="F23" s="83">
        <f>F24+F26+F25</f>
        <v>7858.43</v>
      </c>
      <c r="G23" s="83">
        <f>F23-E23</f>
        <v>2952.4300000000003</v>
      </c>
      <c r="H23" s="88">
        <f>F23/E23</f>
        <v>1.6017998369343662</v>
      </c>
      <c r="I23" s="83">
        <f>I24+I26+I25</f>
        <v>7858.43</v>
      </c>
      <c r="J23" s="83">
        <f>I23-F23</f>
        <v>0</v>
      </c>
      <c r="K23" s="83">
        <f>K24+K26+K25</f>
        <v>7651.5859999999993</v>
      </c>
      <c r="L23" s="83" t="e">
        <f>L24+L26+L25</f>
        <v>#DIV/0!</v>
      </c>
      <c r="M23" s="83">
        <f>M24+M26+M25</f>
        <v>294.04197712070044</v>
      </c>
      <c r="N23" s="83">
        <f>N24+N26+N25</f>
        <v>18.485974735176256</v>
      </c>
      <c r="O23" s="83">
        <f>O24+O26+O25</f>
        <v>-206.84400000000062</v>
      </c>
      <c r="P23" s="83">
        <f>P24+P26+P25</f>
        <v>353.26503673463333</v>
      </c>
      <c r="Q23" s="83">
        <f>Q24+Q26+Q25</f>
        <v>7976.9999999999991</v>
      </c>
      <c r="R23" s="83">
        <f>R24+R26+R25</f>
        <v>7976.9</v>
      </c>
      <c r="S23" s="83">
        <f>S24+S26+S25</f>
        <v>2.9999958576700809</v>
      </c>
      <c r="T23" s="83">
        <f>T24+T26+T25</f>
        <v>2466</v>
      </c>
      <c r="U23" s="83">
        <f>U24+U26+U25</f>
        <v>1.0800253274518805</v>
      </c>
      <c r="V23" s="83">
        <f>V24+V26+V25</f>
        <v>-5510.9</v>
      </c>
      <c r="W23" s="83">
        <f>W24+W26+W25</f>
        <v>2316</v>
      </c>
      <c r="X23" s="83">
        <f>X24+X26+X25</f>
        <v>4316</v>
      </c>
      <c r="Y23" s="83">
        <f>Y24+Y26+Y25</f>
        <v>8.1553821884601016E-2</v>
      </c>
      <c r="Z23" s="83">
        <f>Z24+Z26+Z25</f>
        <v>8.9156821305246617E-2</v>
      </c>
      <c r="AA23" s="83">
        <f>AA24+AA26+AA25</f>
        <v>0.15784834709081402</v>
      </c>
      <c r="AB23" s="83">
        <f>AB24+AB26+AB25</f>
        <v>-1.9199746725481195</v>
      </c>
      <c r="AC23" s="83">
        <f>AC24+AC26+AC25</f>
        <v>4509.3999999999996</v>
      </c>
      <c r="AD23" s="83">
        <f>AD24+AD26+AD25</f>
        <v>8900.8000000000011</v>
      </c>
      <c r="AE23" s="79">
        <f>AE24+AE26+AE25</f>
        <v>8900.7820000000011</v>
      </c>
      <c r="AF23" s="79">
        <f>AF24+AF26+AF25</f>
        <v>8900.8050000000003</v>
      </c>
      <c r="AG23" s="79">
        <f>AG24+AG26+AG25</f>
        <v>3.0000079128994841</v>
      </c>
      <c r="AH23" s="79">
        <f>AH24+AH26+AH25</f>
        <v>-2.3000000000138243E-2</v>
      </c>
      <c r="AI23" s="79">
        <f>AI24+AI26+AI25</f>
        <v>3.9416339535374743</v>
      </c>
      <c r="AJ23" s="79">
        <f>AJ24+AJ26+AJ25</f>
        <v>3.000004338422678</v>
      </c>
      <c r="AK23" s="79">
        <f>AK24+AK26+AK25</f>
        <v>3.9416146798442799</v>
      </c>
      <c r="AL23" s="79">
        <f>AL24+AL26+AL25</f>
        <v>0.21903433591621188</v>
      </c>
      <c r="AM23" s="79">
        <f>AM24+AM26+AM25</f>
        <v>4391.3999999999996</v>
      </c>
      <c r="AN23" s="79">
        <f>AN24+AN26+AN25</f>
        <v>-1.8000000000029104E-2</v>
      </c>
      <c r="AO23" s="79">
        <f>AO24+AO26+AO25</f>
        <v>2.9999964255217746</v>
      </c>
      <c r="AP23" s="79">
        <f>AP24+AP26+AP25</f>
        <v>2466</v>
      </c>
      <c r="AQ23" s="79">
        <f>AQ24+AQ26+AQ25</f>
        <v>6205.8</v>
      </c>
      <c r="AR23" s="79">
        <f>AR24+AR26+AR25</f>
        <v>0</v>
      </c>
      <c r="AS23" s="79">
        <f>AS24+AS26+AS25</f>
        <v>3912.1</v>
      </c>
      <c r="AT23" s="79">
        <f>AT24+AT26+AT25</f>
        <v>6987.2999999999993</v>
      </c>
      <c r="AU23" s="83">
        <f>AT23-AP23</f>
        <v>4521.2999999999993</v>
      </c>
      <c r="AV23" s="83">
        <f>AT23/AP23*100</f>
        <v>283.34549878345496</v>
      </c>
      <c r="AW23" s="79">
        <f>AW24+AW26+AW25</f>
        <v>6987.2999999999993</v>
      </c>
      <c r="AX23" s="83">
        <f>AW23-AT23</f>
        <v>0</v>
      </c>
      <c r="AY23" s="79">
        <f>AY24+AY26+AY25</f>
        <v>6591.2000000000007</v>
      </c>
      <c r="AZ23" s="79">
        <f>AZ24+AZ26+AZ25</f>
        <v>396.09999999999991</v>
      </c>
      <c r="BA23" s="79">
        <f>BA24+BA26+BA25</f>
        <v>287.23164206047323</v>
      </c>
      <c r="BB23" s="79">
        <f>BB24+BB26+BB25</f>
        <v>287.23164206047323</v>
      </c>
      <c r="BC23" s="79">
        <f>BC24+BC26+BC25</f>
        <v>843.64750019484052</v>
      </c>
      <c r="BD23" s="79">
        <f>BD24+BD26+BD25</f>
        <v>288.24614566893081</v>
      </c>
      <c r="BE23" s="79">
        <f>BE24+BE26+BE25</f>
        <v>3713</v>
      </c>
      <c r="BF23" s="79">
        <f>BF24+BF26+BF25</f>
        <v>674.14981295300447</v>
      </c>
      <c r="BG23" s="79">
        <f>BG24+BG26+BG25</f>
        <v>-3274.2999999999997</v>
      </c>
      <c r="BH23" s="79">
        <f>BH24+BH26+BH25</f>
        <v>2639</v>
      </c>
      <c r="BI23" s="79">
        <f>BI24+BI26+BI25</f>
        <v>4880.3</v>
      </c>
      <c r="BJ23" s="79">
        <f>BJ24+BJ26+BJ25</f>
        <v>13.9921014154143</v>
      </c>
      <c r="BK23" s="79">
        <f>BK24+BK26+BK25</f>
        <v>10.448919473238256</v>
      </c>
      <c r="BL23" s="79">
        <f>BL24+BL26+BL25</f>
        <v>17.767672832786623</v>
      </c>
      <c r="BM23" s="79">
        <f>BM24+BM26+BM25</f>
        <v>3713</v>
      </c>
      <c r="BN23" s="79">
        <f>BN24+BN26+BN25</f>
        <v>7906.4</v>
      </c>
      <c r="BO23" s="79">
        <f>BO24+BO26+BO25</f>
        <v>6310.8</v>
      </c>
      <c r="BP23" s="79">
        <f>BP24+BP26+BP25</f>
        <v>7906.4</v>
      </c>
      <c r="BQ23" s="79">
        <f>BQ24+BQ26+BQ25</f>
        <v>9516.6</v>
      </c>
      <c r="BR23" s="79">
        <f>BR24+BR26+BR25</f>
        <v>9516.7000000000007</v>
      </c>
      <c r="BS23" s="79">
        <f>BS24+BS26+BS25</f>
        <v>9062.7999999999993</v>
      </c>
      <c r="BT23" s="79">
        <f>BT24+BT26+BT25</f>
        <v>9062.7999999999993</v>
      </c>
      <c r="BU23" s="79">
        <f>BU24+BU26+BU25</f>
        <v>9062.7999999999993</v>
      </c>
      <c r="BV23" s="79">
        <f>BV24+BV26+BV25</f>
        <v>9062.7999999999993</v>
      </c>
      <c r="BW23" s="79">
        <f>BW24+BW26+BW25</f>
        <v>9062.7999999999993</v>
      </c>
      <c r="BX23" s="79">
        <f>BX24+BX26+BX25</f>
        <v>9062.7999999999993</v>
      </c>
      <c r="BY23" s="79">
        <f>BY24+BY26+BY25</f>
        <v>9062.7999999999993</v>
      </c>
      <c r="BZ23" s="79">
        <f>BZ24+BZ26+BZ25</f>
        <v>9062.7999999999993</v>
      </c>
      <c r="CA23" s="79">
        <f>CA24+CA26+CA25</f>
        <v>9062.7999999999993</v>
      </c>
      <c r="CB23" s="79">
        <f>CB24+CB26+CB25</f>
        <v>9062.7999999999993</v>
      </c>
      <c r="CC23" s="79">
        <f>CC24+CC26+CC25</f>
        <v>9062.7999999999993</v>
      </c>
      <c r="CD23" s="79">
        <f>CD24+CD26+CD25</f>
        <v>9062.7999999999993</v>
      </c>
      <c r="CE23" s="79">
        <f>CE24+CE26+CE25</f>
        <v>9062.7999999999993</v>
      </c>
      <c r="CF23" s="79">
        <f>CF24+CF26+CF25</f>
        <v>9062.7999999999993</v>
      </c>
      <c r="CG23" s="79">
        <f>CG24+CG26+CG25</f>
        <v>9062.7999999999993</v>
      </c>
      <c r="CH23" s="79">
        <f>CH24+CH26+CH25</f>
        <v>9062.7999999999993</v>
      </c>
      <c r="CI23" s="79">
        <f>CI24+CI26+CI25</f>
        <v>9062.7999999999993</v>
      </c>
      <c r="CJ23" s="79">
        <f>CJ24+CJ26+CJ25</f>
        <v>9062.7999999999993</v>
      </c>
      <c r="CK23" s="79">
        <f>CK24+CK26+CK25</f>
        <v>9062.7999999999993</v>
      </c>
      <c r="CL23" s="79">
        <f>CL24+CL26+CL25</f>
        <v>9062.7999999999993</v>
      </c>
      <c r="CM23" s="87">
        <f>CM24+CM26+CM25</f>
        <v>5707.7</v>
      </c>
      <c r="CN23" s="87">
        <f>CN24+CN26+CN25</f>
        <v>7199.4800000000005</v>
      </c>
      <c r="CO23" s="79">
        <f>CO24+CO26+CO25</f>
        <v>4632.9000000000005</v>
      </c>
      <c r="CP23" s="79">
        <f>CP24+CP26+CP25</f>
        <v>7199.5</v>
      </c>
      <c r="CQ23" s="79">
        <f>CQ24+CQ26+CQ25</f>
        <v>7589.93</v>
      </c>
      <c r="CR23" s="79">
        <f>CR24+CR26+CR25</f>
        <v>0</v>
      </c>
      <c r="CS23" s="79">
        <f>CS24+CS26+CS25</f>
        <v>0</v>
      </c>
      <c r="CT23" s="79">
        <f>CT24+CT26+CT25</f>
        <v>0</v>
      </c>
      <c r="CU23" s="79">
        <f>CU24+CU26+CU25</f>
        <v>0</v>
      </c>
      <c r="CV23" s="79">
        <f>CV24+CV26+CV25</f>
        <v>0</v>
      </c>
      <c r="CW23" s="79">
        <f>CW24+CW26+CW25</f>
        <v>0</v>
      </c>
      <c r="CX23" s="79">
        <f>CX24+CX26+CX25</f>
        <v>0</v>
      </c>
      <c r="CY23" s="79">
        <f>CY24+CY26+CY25</f>
        <v>0</v>
      </c>
      <c r="CZ23" s="79">
        <f>CZ24+CZ26+CZ25</f>
        <v>0</v>
      </c>
      <c r="DA23" s="79">
        <f>DA24+DA26+DA25</f>
        <v>0</v>
      </c>
      <c r="DB23" s="79">
        <f>DB24+DB26+DB25</f>
        <v>0</v>
      </c>
      <c r="DC23" s="79">
        <f>DC24+DC26+DC25</f>
        <v>7499.7000000000007</v>
      </c>
      <c r="DD23" s="79">
        <f>DD24+DD26+DD25</f>
        <v>7499.7000000000007</v>
      </c>
      <c r="DE23" s="79">
        <f>DE24+DE26+DE25</f>
        <v>4146.8</v>
      </c>
      <c r="DF23" s="79">
        <f>DF24+DF26+DF25</f>
        <v>14406.800000000001</v>
      </c>
      <c r="DG23" s="79">
        <f>DG24+DG26+DG25</f>
        <v>14406.8</v>
      </c>
      <c r="DH23" s="79">
        <f>DH24+DH26+DH25</f>
        <v>3661</v>
      </c>
      <c r="DI23" s="79">
        <f>DI24+DI26+DI25</f>
        <v>2933</v>
      </c>
      <c r="DJ23" s="79">
        <f>DJ24+DJ26+DJ25</f>
        <v>2205</v>
      </c>
      <c r="DK23" s="79">
        <f>DK24+DK26+DK25</f>
        <v>34.168079782755626</v>
      </c>
      <c r="DL23" s="79">
        <f>DL24+DL26+DL25</f>
        <v>11.920965399568878</v>
      </c>
      <c r="DM23" s="79">
        <f>DM24+DM26+DM25</f>
        <v>9.7625760152846066</v>
      </c>
      <c r="DN23" s="79">
        <f>DN24+DN26+DN25</f>
        <v>7.336476428450224</v>
      </c>
      <c r="DO23" s="79">
        <f>DO24+DO26+DO25</f>
        <v>-10745.8</v>
      </c>
      <c r="DP23" s="79">
        <f>DP24+DP26+DP25</f>
        <v>-206.24736121535665</v>
      </c>
      <c r="DQ23" s="79">
        <f>DQ24+DQ26+DQ25</f>
        <v>14737.96</v>
      </c>
      <c r="DR23" s="79">
        <f>DR24+DR26+DR25</f>
        <v>14738</v>
      </c>
      <c r="DS23" s="79">
        <f>DS24+DS26+DS25</f>
        <v>14738</v>
      </c>
      <c r="DT23" s="79">
        <f>DT24+DT26+DT25</f>
        <v>3661</v>
      </c>
      <c r="DU23" s="79">
        <f>DU24+DU26+DU25</f>
        <v>8975.39</v>
      </c>
      <c r="DV23" s="79">
        <f>DV24+DV26+DV25</f>
        <v>8975.39</v>
      </c>
      <c r="DW23" s="79">
        <f>DW24+DW26+DW25</f>
        <v>5536.69</v>
      </c>
      <c r="DX23" s="79">
        <f>DX24+DX26+DX25</f>
        <v>9039.2999999999993</v>
      </c>
      <c r="DY23" s="79">
        <f>DY24+DY26+DY25</f>
        <v>5657.4</v>
      </c>
      <c r="DZ23" s="79">
        <f>DZ24+DZ26+DZ25</f>
        <v>2881.3</v>
      </c>
      <c r="EA23" s="79">
        <f>EA24+EA26+EA25</f>
        <v>2405.1999999999998</v>
      </c>
      <c r="EB23" s="79">
        <f>EB24+EB26+EB25</f>
        <v>8510.6</v>
      </c>
      <c r="EC23" s="79">
        <f>EC24+EC26+EC25</f>
        <v>8510.6</v>
      </c>
      <c r="ED23" s="79">
        <f>ED24+ED26+ED25</f>
        <v>8510.6</v>
      </c>
      <c r="EE23" s="86">
        <f>EC23-EB23</f>
        <v>0</v>
      </c>
      <c r="EF23" s="86">
        <f>EC23/EB23*100</f>
        <v>100</v>
      </c>
      <c r="EG23" s="86">
        <f>EC23-ED23</f>
        <v>0</v>
      </c>
      <c r="EH23" s="86">
        <f>ED23/EC23*100</f>
        <v>100</v>
      </c>
      <c r="EI23" s="86">
        <f>ED23/DT23*100</f>
        <v>232.46653919694074</v>
      </c>
      <c r="EJ23" s="86">
        <f>ED23/EB23*100</f>
        <v>100</v>
      </c>
      <c r="EK23" s="86">
        <f>ED23/DS23*100</f>
        <v>57.745962817207221</v>
      </c>
      <c r="EL23" s="86">
        <f>EB23-DT23</f>
        <v>4849.6000000000004</v>
      </c>
      <c r="EM23" s="86">
        <f>EB23/DT23*100</f>
        <v>232.46653919694074</v>
      </c>
      <c r="EN23" s="67"/>
    </row>
    <row r="24" spans="1:144" ht="15" customHeight="1" x14ac:dyDescent="0.2">
      <c r="A24" s="138" t="s">
        <v>266</v>
      </c>
      <c r="B24" s="115" t="s">
        <v>262</v>
      </c>
      <c r="C24" s="115" t="s">
        <v>241</v>
      </c>
      <c r="D24" s="111">
        <f>2046.28+62.256+242.16+175.75</f>
        <v>2526.4459999999999</v>
      </c>
      <c r="E24" s="107" t="s">
        <v>265</v>
      </c>
      <c r="F24" s="94">
        <v>3469.53</v>
      </c>
      <c r="G24" s="94">
        <f>F24-E24</f>
        <v>1826.5300000000002</v>
      </c>
      <c r="H24" s="106">
        <f>F24/E24</f>
        <v>2.1117041996348145</v>
      </c>
      <c r="I24" s="94">
        <v>3469.5259999999998</v>
      </c>
      <c r="J24" s="83">
        <f>I24-F24</f>
        <v>-4.0000000003601599E-3</v>
      </c>
      <c r="K24" s="94">
        <f>2259.924+36.046+119.562+423.838+203+15.1+107+82.601+17.398</f>
        <v>3264.4690000000001</v>
      </c>
      <c r="L24" s="105">
        <f>K24/E24*100</f>
        <v>198.68953134510042</v>
      </c>
      <c r="M24" s="105">
        <f>K24/F24*100</f>
        <v>94.089660559211183</v>
      </c>
      <c r="N24" s="105">
        <f>K24/$K$42*100</f>
        <v>7.8868474402256084</v>
      </c>
      <c r="O24" s="105">
        <f>K24-F24</f>
        <v>-205.06100000000015</v>
      </c>
      <c r="P24" s="105">
        <f>K24/D24*100</f>
        <v>129.21190478640747</v>
      </c>
      <c r="Q24" s="114">
        <v>2533.9</v>
      </c>
      <c r="R24" s="102">
        <v>2534</v>
      </c>
      <c r="S24" s="100">
        <f>R24/Q24</f>
        <v>1.0000394648565452</v>
      </c>
      <c r="T24" s="102">
        <v>1050</v>
      </c>
      <c r="U24" s="100">
        <f>T24/R24</f>
        <v>0.4143646408839779</v>
      </c>
      <c r="V24" s="94">
        <f>T24-R24</f>
        <v>-1484</v>
      </c>
      <c r="W24" s="102">
        <v>900</v>
      </c>
      <c r="X24" s="102">
        <v>900</v>
      </c>
      <c r="Y24" s="104">
        <f>T24/$T$42</f>
        <v>3.4724863332859318E-2</v>
      </c>
      <c r="Z24" s="104">
        <f>W24/$W$42</f>
        <v>3.4646433149707237E-2</v>
      </c>
      <c r="AA24" s="104">
        <f>X24/$X$42</f>
        <v>3.2915549671393096E-2</v>
      </c>
      <c r="AB24" s="103">
        <f>U24-100%</f>
        <v>-0.58563535911602216</v>
      </c>
      <c r="AC24" s="102">
        <v>1257</v>
      </c>
      <c r="AD24" s="102">
        <v>3008.4</v>
      </c>
      <c r="AE24" s="101">
        <v>3008.4</v>
      </c>
      <c r="AF24" s="101">
        <f>1983.211+741.215+84+152.504+47.495</f>
        <v>3008.4249999999997</v>
      </c>
      <c r="AG24" s="100">
        <f>AF24/AE24</f>
        <v>1.0000083100651509</v>
      </c>
      <c r="AH24" s="94">
        <f>AE24-AF24</f>
        <v>-2.4999999999636202E-2</v>
      </c>
      <c r="AI24" s="100">
        <f>AF24/AC24</f>
        <v>2.3933373110580747</v>
      </c>
      <c r="AJ24" s="100">
        <f>AF24/AD24</f>
        <v>1.0000083100651509</v>
      </c>
      <c r="AK24" s="100">
        <f>AE24/AC24</f>
        <v>2.3933174224343676</v>
      </c>
      <c r="AL24" s="100">
        <f>AF24/$AF$42</f>
        <v>7.4032446731360779E-2</v>
      </c>
      <c r="AM24" s="94">
        <f>AD24-AC24</f>
        <v>1751.4</v>
      </c>
      <c r="AN24" s="99">
        <f>AE24-AD24</f>
        <v>0</v>
      </c>
      <c r="AO24" s="98">
        <f>AE24/AD24</f>
        <v>1</v>
      </c>
      <c r="AP24" s="93">
        <v>1050</v>
      </c>
      <c r="AQ24" s="93">
        <v>2433.1</v>
      </c>
      <c r="AR24" s="93"/>
      <c r="AS24" s="93">
        <v>1678.8</v>
      </c>
      <c r="AT24" s="93">
        <v>3102.2</v>
      </c>
      <c r="AU24" s="94">
        <f>AT24-AP24</f>
        <v>2052.1999999999998</v>
      </c>
      <c r="AV24" s="94">
        <f>AT24/AP24*100</f>
        <v>295.44761904761907</v>
      </c>
      <c r="AW24" s="94">
        <v>3102.2</v>
      </c>
      <c r="AX24" s="94">
        <f>AW24-AT24</f>
        <v>0</v>
      </c>
      <c r="AY24" s="94">
        <v>2706.1</v>
      </c>
      <c r="AZ24" s="94">
        <f>AT24-AY24</f>
        <v>396.09999999999991</v>
      </c>
      <c r="BA24" s="94">
        <f>AY24/AT24*100</f>
        <v>87.23164206047322</v>
      </c>
      <c r="BB24" s="94">
        <f>AY24/AW24*100</f>
        <v>87.23164206047322</v>
      </c>
      <c r="BC24" s="94">
        <f>AY24/AP24*100</f>
        <v>257.72380952380951</v>
      </c>
      <c r="BD24" s="97">
        <f>AY24/AF24*100</f>
        <v>89.950721723160797</v>
      </c>
      <c r="BE24" s="93">
        <v>810</v>
      </c>
      <c r="BF24" s="94">
        <f>BE24/AP24*100</f>
        <v>77.142857142857153</v>
      </c>
      <c r="BG24" s="94">
        <f>BE24-AT24</f>
        <v>-2292.1999999999998</v>
      </c>
      <c r="BH24" s="93">
        <v>810</v>
      </c>
      <c r="BI24" s="93">
        <v>810</v>
      </c>
      <c r="BJ24" s="96">
        <f>BE24/$BE$42*100</f>
        <v>3.0524110278711509</v>
      </c>
      <c r="BK24" s="96">
        <f>BH24/$BH$42*100</f>
        <v>3.2071332979624807</v>
      </c>
      <c r="BL24" s="96">
        <f>BI24/$BI$42*100</f>
        <v>2.9489611283234978</v>
      </c>
      <c r="BM24" s="94">
        <v>810</v>
      </c>
      <c r="BN24" s="94">
        <v>1441.4</v>
      </c>
      <c r="BO24" s="94">
        <v>1337.6</v>
      </c>
      <c r="BP24" s="94">
        <v>1441.4</v>
      </c>
      <c r="BQ24" s="94">
        <v>1940.3</v>
      </c>
      <c r="BR24" s="94">
        <v>1940.3</v>
      </c>
      <c r="BS24" s="94">
        <v>1486.5</v>
      </c>
      <c r="BT24" s="94">
        <v>1486.5</v>
      </c>
      <c r="BU24" s="94">
        <v>1486.5</v>
      </c>
      <c r="BV24" s="94">
        <v>1486.5</v>
      </c>
      <c r="BW24" s="94">
        <v>1486.5</v>
      </c>
      <c r="BX24" s="94">
        <v>1486.5</v>
      </c>
      <c r="BY24" s="94">
        <v>1486.5</v>
      </c>
      <c r="BZ24" s="94">
        <v>1486.5</v>
      </c>
      <c r="CA24" s="94">
        <v>1486.5</v>
      </c>
      <c r="CB24" s="94">
        <v>1486.5</v>
      </c>
      <c r="CC24" s="94">
        <v>1486.5</v>
      </c>
      <c r="CD24" s="94">
        <v>1486.5</v>
      </c>
      <c r="CE24" s="94">
        <v>1486.5</v>
      </c>
      <c r="CF24" s="94">
        <v>1486.5</v>
      </c>
      <c r="CG24" s="94">
        <v>1486.5</v>
      </c>
      <c r="CH24" s="94">
        <v>1486.5</v>
      </c>
      <c r="CI24" s="94">
        <v>1486.5</v>
      </c>
      <c r="CJ24" s="94">
        <v>1486.5</v>
      </c>
      <c r="CK24" s="94">
        <v>1486.5</v>
      </c>
      <c r="CL24" s="94">
        <v>1486.5</v>
      </c>
      <c r="CM24" s="95">
        <v>850</v>
      </c>
      <c r="CN24" s="95">
        <v>1520.54</v>
      </c>
      <c r="CO24" s="94">
        <v>1490.4</v>
      </c>
      <c r="CP24" s="94">
        <v>1520.5</v>
      </c>
      <c r="CQ24" s="94">
        <v>1569.91</v>
      </c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>
        <v>1490.4</v>
      </c>
      <c r="DD24" s="94">
        <v>1490.4</v>
      </c>
      <c r="DE24" s="94">
        <v>2184</v>
      </c>
      <c r="DF24" s="94">
        <v>2853.04</v>
      </c>
      <c r="DG24" s="94">
        <v>2853</v>
      </c>
      <c r="DH24" s="94">
        <v>2203</v>
      </c>
      <c r="DI24" s="94">
        <v>1475</v>
      </c>
      <c r="DJ24" s="94">
        <v>747</v>
      </c>
      <c r="DK24" s="94">
        <f>DG24/$DG$42*100</f>
        <v>6.7663555834884788</v>
      </c>
      <c r="DL24" s="94">
        <f>DH24/$DH$42*100</f>
        <v>7.1734189498088616</v>
      </c>
      <c r="DM24" s="94">
        <f>DI24/$DI$42*100</f>
        <v>4.909580505470438</v>
      </c>
      <c r="DN24" s="94">
        <f>DJ24/$DJ$42*100</f>
        <v>2.485418545148443</v>
      </c>
      <c r="DO24" s="94">
        <f>DH24-DG24</f>
        <v>-650</v>
      </c>
      <c r="DP24" s="94">
        <f>DH24/DG24*100-100</f>
        <v>-22.783035401331929</v>
      </c>
      <c r="DQ24" s="94">
        <v>2920.46</v>
      </c>
      <c r="DR24" s="94">
        <v>2920.5</v>
      </c>
      <c r="DS24" s="94">
        <v>2920.5</v>
      </c>
      <c r="DT24" s="94">
        <v>2203</v>
      </c>
      <c r="DU24" s="94">
        <v>2914.4</v>
      </c>
      <c r="DV24" s="94">
        <v>2914.4</v>
      </c>
      <c r="DW24" s="94">
        <v>2639</v>
      </c>
      <c r="DX24" s="94">
        <v>2978.4</v>
      </c>
      <c r="DY24" s="94">
        <v>2232</v>
      </c>
      <c r="DZ24" s="94">
        <v>1455.9</v>
      </c>
      <c r="EA24" s="94">
        <v>679.8</v>
      </c>
      <c r="EB24" s="93">
        <v>2920.5</v>
      </c>
      <c r="EC24" s="93">
        <v>2920.5</v>
      </c>
      <c r="ED24" s="93">
        <v>2920.5</v>
      </c>
      <c r="EE24" s="92">
        <f>EC24-EB24</f>
        <v>0</v>
      </c>
      <c r="EF24" s="92">
        <f>EC24/EB24*100</f>
        <v>100</v>
      </c>
      <c r="EG24" s="92">
        <f>EC24-ED24</f>
        <v>0</v>
      </c>
      <c r="EH24" s="92">
        <f>ED24/EC24*100</f>
        <v>100</v>
      </c>
      <c r="EI24" s="92">
        <f>ED24/DT24*100</f>
        <v>132.56922378574671</v>
      </c>
      <c r="EJ24" s="92">
        <f>ED24/EB24*100</f>
        <v>100</v>
      </c>
      <c r="EK24" s="92">
        <f>ED24/DS24*100</f>
        <v>100</v>
      </c>
      <c r="EL24" s="92">
        <f>EB24-DT24</f>
        <v>717.5</v>
      </c>
      <c r="EM24" s="92">
        <f>EB24/DT24*100</f>
        <v>132.56922378574671</v>
      </c>
      <c r="EN24" s="67"/>
    </row>
    <row r="25" spans="1:144" ht="12.75" customHeight="1" x14ac:dyDescent="0.2">
      <c r="A25" s="160" t="s">
        <v>264</v>
      </c>
      <c r="B25" s="115" t="s">
        <v>262</v>
      </c>
      <c r="C25" s="115" t="s">
        <v>237</v>
      </c>
      <c r="D25" s="111">
        <f>349.26</f>
        <v>349.26</v>
      </c>
      <c r="E25" s="107"/>
      <c r="F25" s="94">
        <v>659.42</v>
      </c>
      <c r="G25" s="94">
        <f>F25-E25</f>
        <v>659.42</v>
      </c>
      <c r="H25" s="106" t="e">
        <f>F25/E25</f>
        <v>#DIV/0!</v>
      </c>
      <c r="I25" s="94">
        <v>659.42100000000005</v>
      </c>
      <c r="J25" s="83">
        <f>I25-F25</f>
        <v>1.00000000009004E-3</v>
      </c>
      <c r="K25" s="94">
        <f>659.421</f>
        <v>659.42100000000005</v>
      </c>
      <c r="L25" s="105" t="e">
        <f>K25/E25*100</f>
        <v>#DIV/0!</v>
      </c>
      <c r="M25" s="105">
        <f>K25/F25*100</f>
        <v>100.00015164841831</v>
      </c>
      <c r="N25" s="105">
        <f>K25/$K$42*100</f>
        <v>1.5931389839759578</v>
      </c>
      <c r="O25" s="105">
        <f>K25-F25</f>
        <v>1.00000000009004E-3</v>
      </c>
      <c r="P25" s="105">
        <f>K25/D25*100</f>
        <v>188.80518811200827</v>
      </c>
      <c r="Q25" s="114">
        <v>856.7</v>
      </c>
      <c r="R25" s="102">
        <v>856.7</v>
      </c>
      <c r="S25" s="100">
        <f>R25/Q25</f>
        <v>1</v>
      </c>
      <c r="T25" s="102">
        <v>376</v>
      </c>
      <c r="U25" s="100">
        <f>T25/R25</f>
        <v>0.43889342827127348</v>
      </c>
      <c r="V25" s="94">
        <f>T25-R25</f>
        <v>-480.70000000000005</v>
      </c>
      <c r="W25" s="102">
        <v>376</v>
      </c>
      <c r="X25" s="102">
        <v>376</v>
      </c>
      <c r="Y25" s="104">
        <f>T25/$T$42</f>
        <v>1.243480820300486E-2</v>
      </c>
      <c r="Z25" s="104">
        <f>W25/$W$42</f>
        <v>1.4474509849211023E-2</v>
      </c>
      <c r="AA25" s="104">
        <f>X25/$X$42</f>
        <v>1.375138519604867E-2</v>
      </c>
      <c r="AB25" s="103">
        <f>U25-100%</f>
        <v>-0.56110657172872647</v>
      </c>
      <c r="AC25" s="102">
        <v>0</v>
      </c>
      <c r="AD25" s="102">
        <v>856.7</v>
      </c>
      <c r="AE25" s="101">
        <v>856.7</v>
      </c>
      <c r="AF25" s="101">
        <v>856.7</v>
      </c>
      <c r="AG25" s="100">
        <f>AF25/AE25</f>
        <v>1</v>
      </c>
      <c r="AH25" s="94">
        <f>AE25-AF25</f>
        <v>0</v>
      </c>
      <c r="AI25" s="100">
        <v>0</v>
      </c>
      <c r="AJ25" s="100">
        <f>AF25/AD25</f>
        <v>1</v>
      </c>
      <c r="AK25" s="100">
        <v>0</v>
      </c>
      <c r="AL25" s="100">
        <f>AF25/$AF$42</f>
        <v>2.1081993772408082E-2</v>
      </c>
      <c r="AM25" s="94">
        <f>AD25-AC25</f>
        <v>856.7</v>
      </c>
      <c r="AN25" s="99">
        <f>AE25-AD25</f>
        <v>0</v>
      </c>
      <c r="AO25" s="98">
        <f>AE25/AD25</f>
        <v>1</v>
      </c>
      <c r="AP25" s="93">
        <v>376</v>
      </c>
      <c r="AQ25" s="93">
        <v>1432.8</v>
      </c>
      <c r="AR25" s="93"/>
      <c r="AS25" s="93">
        <v>198</v>
      </c>
      <c r="AT25" s="93">
        <v>1250.5999999999999</v>
      </c>
      <c r="AU25" s="94">
        <f>AT25-AP25</f>
        <v>874.59999999999991</v>
      </c>
      <c r="AV25" s="94">
        <f>AT25/AP25*100</f>
        <v>332.60638297872333</v>
      </c>
      <c r="AW25" s="94">
        <v>1250.5999999999999</v>
      </c>
      <c r="AX25" s="94">
        <f>AW25-AT25</f>
        <v>0</v>
      </c>
      <c r="AY25" s="94">
        <v>1250.5999999999999</v>
      </c>
      <c r="AZ25" s="94">
        <f>AT25-AY25</f>
        <v>0</v>
      </c>
      <c r="BA25" s="94">
        <f>AY25/AT25*100</f>
        <v>100</v>
      </c>
      <c r="BB25" s="94">
        <f>AY25/AW25*100</f>
        <v>100</v>
      </c>
      <c r="BC25" s="94">
        <f>AY25/AP25*100</f>
        <v>332.60638297872333</v>
      </c>
      <c r="BD25" s="97">
        <f>AY25/AF25*100</f>
        <v>145.97875569044004</v>
      </c>
      <c r="BE25" s="93">
        <v>1872</v>
      </c>
      <c r="BF25" s="94">
        <f>BE25/AP25*100</f>
        <v>497.87234042553195</v>
      </c>
      <c r="BG25" s="94">
        <f>BE25-AT25</f>
        <v>621.40000000000009</v>
      </c>
      <c r="BH25" s="93">
        <v>798</v>
      </c>
      <c r="BI25" s="93">
        <v>739.3</v>
      </c>
      <c r="BJ25" s="96">
        <f>BE25/$BE$42*100</f>
        <v>7.0544610421911038</v>
      </c>
      <c r="BK25" s="96">
        <f>BH25/$BH$42*100</f>
        <v>3.1596202120667405</v>
      </c>
      <c r="BL25" s="96">
        <f>BI25/$BI$42*100</f>
        <v>2.6915641508266193</v>
      </c>
      <c r="BM25" s="94">
        <v>1872</v>
      </c>
      <c r="BN25" s="94">
        <v>3700.9</v>
      </c>
      <c r="BO25" s="94">
        <v>3096</v>
      </c>
      <c r="BP25" s="94">
        <v>3700.9</v>
      </c>
      <c r="BQ25" s="94">
        <v>4499.8</v>
      </c>
      <c r="BR25" s="94">
        <v>4499.8999999999996</v>
      </c>
      <c r="BS25" s="94">
        <v>4499.8</v>
      </c>
      <c r="BT25" s="94">
        <v>4499.8</v>
      </c>
      <c r="BU25" s="94">
        <v>4499.8</v>
      </c>
      <c r="BV25" s="94">
        <v>4499.8</v>
      </c>
      <c r="BW25" s="94">
        <v>4499.8</v>
      </c>
      <c r="BX25" s="94">
        <v>4499.8</v>
      </c>
      <c r="BY25" s="94">
        <v>4499.8</v>
      </c>
      <c r="BZ25" s="94">
        <v>4499.8</v>
      </c>
      <c r="CA25" s="94">
        <v>4499.8</v>
      </c>
      <c r="CB25" s="94">
        <v>4499.8</v>
      </c>
      <c r="CC25" s="94">
        <v>4499.8</v>
      </c>
      <c r="CD25" s="94">
        <v>4499.8</v>
      </c>
      <c r="CE25" s="94">
        <v>4499.8</v>
      </c>
      <c r="CF25" s="94">
        <v>4499.8</v>
      </c>
      <c r="CG25" s="94">
        <v>4499.8</v>
      </c>
      <c r="CH25" s="94">
        <v>4499.8</v>
      </c>
      <c r="CI25" s="94">
        <v>4499.8</v>
      </c>
      <c r="CJ25" s="94">
        <v>4499.8</v>
      </c>
      <c r="CK25" s="94">
        <v>4499.8</v>
      </c>
      <c r="CL25" s="94">
        <v>4499.8</v>
      </c>
      <c r="CM25" s="95">
        <v>3437.7</v>
      </c>
      <c r="CN25" s="95">
        <v>2419.5500000000002</v>
      </c>
      <c r="CO25" s="94">
        <v>816.1</v>
      </c>
      <c r="CP25" s="94">
        <v>2419.6</v>
      </c>
      <c r="CQ25" s="94">
        <v>3135.36</v>
      </c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>
        <v>3135.4</v>
      </c>
      <c r="DD25" s="94">
        <v>3135.4</v>
      </c>
      <c r="DE25" s="94">
        <v>235.8</v>
      </c>
      <c r="DF25" s="94">
        <v>8817.2900000000009</v>
      </c>
      <c r="DG25" s="94">
        <v>8817.2999999999993</v>
      </c>
      <c r="DH25" s="94">
        <v>1458</v>
      </c>
      <c r="DI25" s="94"/>
      <c r="DJ25" s="94"/>
      <c r="DK25" s="94">
        <f>DG25/$DG$42*100</f>
        <v>20.911667397929531</v>
      </c>
      <c r="DL25" s="94">
        <f>DH25/$DH$42*100</f>
        <v>4.7475464497600175</v>
      </c>
      <c r="DM25" s="94">
        <f>DI25/$DI$42*100</f>
        <v>0</v>
      </c>
      <c r="DN25" s="94">
        <f>DJ25/$DJ$42*100</f>
        <v>0</v>
      </c>
      <c r="DO25" s="94">
        <f>DH25-DG25</f>
        <v>-7359.2999999999993</v>
      </c>
      <c r="DP25" s="94">
        <f>DH25/DG25*100-100</f>
        <v>-83.464325814024704</v>
      </c>
      <c r="DQ25" s="94">
        <v>8615.84</v>
      </c>
      <c r="DR25" s="94">
        <v>8615.7999999999993</v>
      </c>
      <c r="DS25" s="94">
        <v>8615.7999999999993</v>
      </c>
      <c r="DT25" s="94"/>
      <c r="DU25" s="94">
        <v>1235.51</v>
      </c>
      <c r="DV25" s="94">
        <v>1235.51</v>
      </c>
      <c r="DW25" s="94">
        <v>414.86</v>
      </c>
      <c r="DX25" s="94">
        <v>1235.5</v>
      </c>
      <c r="DY25" s="94">
        <v>0</v>
      </c>
      <c r="DZ25" s="94">
        <v>0</v>
      </c>
      <c r="EA25" s="94">
        <v>0</v>
      </c>
      <c r="EB25" s="93">
        <v>614</v>
      </c>
      <c r="EC25" s="93">
        <v>614</v>
      </c>
      <c r="ED25" s="93">
        <v>614</v>
      </c>
      <c r="EE25" s="92">
        <f>EC25-EB25</f>
        <v>0</v>
      </c>
      <c r="EF25" s="92">
        <f>EC25/EB25*100</f>
        <v>100</v>
      </c>
      <c r="EG25" s="92">
        <f>EC25-ED25</f>
        <v>0</v>
      </c>
      <c r="EH25" s="92">
        <f>ED25/EC25*100</f>
        <v>100</v>
      </c>
      <c r="EI25" s="92">
        <v>0</v>
      </c>
      <c r="EJ25" s="92">
        <f>ED25/EB25*100</f>
        <v>100</v>
      </c>
      <c r="EK25" s="92">
        <f>ED25/DS25*100</f>
        <v>7.1264421179693134</v>
      </c>
      <c r="EL25" s="92">
        <f>EB25-DT25</f>
        <v>614</v>
      </c>
      <c r="EM25" s="92">
        <v>100</v>
      </c>
      <c r="EN25" s="67"/>
    </row>
    <row r="26" spans="1:144" ht="12" customHeight="1" x14ac:dyDescent="0.2">
      <c r="A26" s="138" t="s">
        <v>263</v>
      </c>
      <c r="B26" s="115" t="s">
        <v>262</v>
      </c>
      <c r="C26" s="115" t="s">
        <v>234</v>
      </c>
      <c r="D26" s="111">
        <f>5776.37+774.826+231.764+16.211+674.294+1382.629+531.208+23.01+859.062+81.8+224.467</f>
        <v>10575.641000000001</v>
      </c>
      <c r="E26" s="107" t="s">
        <v>261</v>
      </c>
      <c r="F26" s="94">
        <v>3729.48</v>
      </c>
      <c r="G26" s="94">
        <f>F26-E26</f>
        <v>466.48</v>
      </c>
      <c r="H26" s="106">
        <f>F26/E26</f>
        <v>1.1429604658289918</v>
      </c>
      <c r="I26" s="94">
        <v>3729.4830000000002</v>
      </c>
      <c r="J26" s="83">
        <f>I26-F26</f>
        <v>3.0000000001564331E-3</v>
      </c>
      <c r="K26" s="94">
        <f>81.3+193.54+164.39+65.537+52.48+1588.302+1186.611+35+137.72+222.816</f>
        <v>3727.6959999999995</v>
      </c>
      <c r="L26" s="105">
        <f>K26/E26*100</f>
        <v>114.24137296965982</v>
      </c>
      <c r="M26" s="105">
        <f>K26/F26*100</f>
        <v>99.952164913070973</v>
      </c>
      <c r="N26" s="105">
        <f>K26/$K$42*100</f>
        <v>9.0059883109746899</v>
      </c>
      <c r="O26" s="105">
        <f>K26-F26</f>
        <v>-1.7840000000005602</v>
      </c>
      <c r="P26" s="105">
        <f>K26/D26*100</f>
        <v>35.24794383621758</v>
      </c>
      <c r="Q26" s="114">
        <v>4586.3999999999996</v>
      </c>
      <c r="R26" s="102">
        <v>4586.2</v>
      </c>
      <c r="S26" s="100">
        <f>R26/Q26</f>
        <v>0.99995639281353565</v>
      </c>
      <c r="T26" s="102">
        <v>1040</v>
      </c>
      <c r="U26" s="100">
        <f>T26/R26</f>
        <v>0.22676725829662903</v>
      </c>
      <c r="V26" s="94">
        <f>T26-R26</f>
        <v>-3546.2</v>
      </c>
      <c r="W26" s="102">
        <v>1040</v>
      </c>
      <c r="X26" s="102">
        <v>3040</v>
      </c>
      <c r="Y26" s="104">
        <f>T26/$T$42</f>
        <v>3.4394150348736843E-2</v>
      </c>
      <c r="Z26" s="104">
        <f>W26/$W$42</f>
        <v>4.0035878306328362E-2</v>
      </c>
      <c r="AA26" s="104">
        <f>X26/$X$42</f>
        <v>0.11118141222337223</v>
      </c>
      <c r="AB26" s="103">
        <f>U26-100%</f>
        <v>-0.77323274170337097</v>
      </c>
      <c r="AC26" s="102">
        <v>3252.4</v>
      </c>
      <c r="AD26" s="102">
        <v>5035.7</v>
      </c>
      <c r="AE26" s="101">
        <v>5035.6819999999998</v>
      </c>
      <c r="AF26" s="101">
        <f>321.928+174.606+63.052+9.428+70.3+835.791+485.524+2238.552+486.499+38.94+311.06</f>
        <v>5035.68</v>
      </c>
      <c r="AG26" s="100">
        <f>AF26/AE26</f>
        <v>0.9999996028343332</v>
      </c>
      <c r="AH26" s="94">
        <f>AE26-AF26</f>
        <v>1.9999999994979589E-3</v>
      </c>
      <c r="AI26" s="100">
        <f>AF26/AC26</f>
        <v>1.5482966424793998</v>
      </c>
      <c r="AJ26" s="100">
        <f>AF26/AD26</f>
        <v>0.99999602835752732</v>
      </c>
      <c r="AK26" s="100">
        <f>AE26/AC26</f>
        <v>1.5482972574099125</v>
      </c>
      <c r="AL26" s="100">
        <f>AF26/$AF$42</f>
        <v>0.12391989541244301</v>
      </c>
      <c r="AM26" s="94">
        <f>AD26-AC26</f>
        <v>1783.2999999999997</v>
      </c>
      <c r="AN26" s="99">
        <f>AE26-AD26</f>
        <v>-1.8000000000029104E-2</v>
      </c>
      <c r="AO26" s="98">
        <f>AE26/AD26</f>
        <v>0.99999642552177448</v>
      </c>
      <c r="AP26" s="93">
        <v>1040</v>
      </c>
      <c r="AQ26" s="93">
        <v>2339.9</v>
      </c>
      <c r="AR26" s="93"/>
      <c r="AS26" s="93">
        <v>2035.3</v>
      </c>
      <c r="AT26" s="93">
        <v>2634.5</v>
      </c>
      <c r="AU26" s="94">
        <f>AT26-AP26</f>
        <v>1594.5</v>
      </c>
      <c r="AV26" s="94">
        <f>AT26/AP26*100</f>
        <v>253.31730769230768</v>
      </c>
      <c r="AW26" s="94">
        <v>2634.5</v>
      </c>
      <c r="AX26" s="94">
        <f>AW26-AT26</f>
        <v>0</v>
      </c>
      <c r="AY26" s="94">
        <v>2634.5</v>
      </c>
      <c r="AZ26" s="94">
        <f>AT26-AY26</f>
        <v>0</v>
      </c>
      <c r="BA26" s="94">
        <f>AY26/AT26*100</f>
        <v>100</v>
      </c>
      <c r="BB26" s="94">
        <f>AY26/AW26*100</f>
        <v>100</v>
      </c>
      <c r="BC26" s="94">
        <f>AY26/AP26*100</f>
        <v>253.31730769230768</v>
      </c>
      <c r="BD26" s="97">
        <f>AY26/AF26*100</f>
        <v>52.316668255329965</v>
      </c>
      <c r="BE26" s="93">
        <v>1031</v>
      </c>
      <c r="BF26" s="94">
        <f>BE26/AP26*100</f>
        <v>99.134615384615387</v>
      </c>
      <c r="BG26" s="94">
        <f>BE26-AT26</f>
        <v>-1603.5</v>
      </c>
      <c r="BH26" s="93">
        <v>1031</v>
      </c>
      <c r="BI26" s="93">
        <v>3331</v>
      </c>
      <c r="BJ26" s="96">
        <f>BE26/$BE$42*100</f>
        <v>3.8852293453520454</v>
      </c>
      <c r="BK26" s="96">
        <f>BH26/$BH$42*100</f>
        <v>4.0821659632090341</v>
      </c>
      <c r="BL26" s="96">
        <f>BI26/$BI$42*100</f>
        <v>12.127147553636506</v>
      </c>
      <c r="BM26" s="94">
        <v>1031</v>
      </c>
      <c r="BN26" s="94">
        <v>2764.1</v>
      </c>
      <c r="BO26" s="94">
        <v>1877.2</v>
      </c>
      <c r="BP26" s="94">
        <v>2764.1</v>
      </c>
      <c r="BQ26" s="94">
        <v>3076.5</v>
      </c>
      <c r="BR26" s="94">
        <v>3076.5</v>
      </c>
      <c r="BS26" s="94">
        <v>3076.5</v>
      </c>
      <c r="BT26" s="94">
        <v>3076.5</v>
      </c>
      <c r="BU26" s="94">
        <v>3076.5</v>
      </c>
      <c r="BV26" s="94">
        <v>3076.5</v>
      </c>
      <c r="BW26" s="94">
        <v>3076.5</v>
      </c>
      <c r="BX26" s="94">
        <v>3076.5</v>
      </c>
      <c r="BY26" s="94">
        <v>3076.5</v>
      </c>
      <c r="BZ26" s="94">
        <v>3076.5</v>
      </c>
      <c r="CA26" s="94">
        <v>3076.5</v>
      </c>
      <c r="CB26" s="94">
        <v>3076.5</v>
      </c>
      <c r="CC26" s="94">
        <v>3076.5</v>
      </c>
      <c r="CD26" s="94">
        <v>3076.5</v>
      </c>
      <c r="CE26" s="94">
        <v>3076.5</v>
      </c>
      <c r="CF26" s="94">
        <v>3076.5</v>
      </c>
      <c r="CG26" s="94">
        <v>3076.5</v>
      </c>
      <c r="CH26" s="94">
        <v>3076.5</v>
      </c>
      <c r="CI26" s="94">
        <v>3076.5</v>
      </c>
      <c r="CJ26" s="94">
        <v>3076.5</v>
      </c>
      <c r="CK26" s="94">
        <v>3076.5</v>
      </c>
      <c r="CL26" s="94">
        <v>3076.5</v>
      </c>
      <c r="CM26" s="95">
        <v>1420</v>
      </c>
      <c r="CN26" s="95">
        <v>3259.39</v>
      </c>
      <c r="CO26" s="94">
        <v>2326.4</v>
      </c>
      <c r="CP26" s="94">
        <v>3259.4</v>
      </c>
      <c r="CQ26" s="94">
        <v>2884.66</v>
      </c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>
        <v>2873.9</v>
      </c>
      <c r="DD26" s="94">
        <v>2873.9</v>
      </c>
      <c r="DE26" s="94">
        <v>1727</v>
      </c>
      <c r="DF26" s="94">
        <v>2736.47</v>
      </c>
      <c r="DG26" s="94">
        <v>2736.5</v>
      </c>
      <c r="DH26" s="94"/>
      <c r="DI26" s="94">
        <v>1458</v>
      </c>
      <c r="DJ26" s="94">
        <v>1458</v>
      </c>
      <c r="DK26" s="94">
        <f>DG26/$DG$42*100</f>
        <v>6.4900568013376168</v>
      </c>
      <c r="DL26" s="94">
        <f>DH26/$DH$42*100</f>
        <v>0</v>
      </c>
      <c r="DM26" s="94">
        <f>DI26/$DI$42*100</f>
        <v>4.8529955098141686</v>
      </c>
      <c r="DN26" s="94">
        <f>DJ26/$DJ$42*100</f>
        <v>4.851057883301781</v>
      </c>
      <c r="DO26" s="94">
        <f>DH26-DG26</f>
        <v>-2736.5</v>
      </c>
      <c r="DP26" s="94">
        <f>DH26/DG26*100-100</f>
        <v>-100</v>
      </c>
      <c r="DQ26" s="94">
        <v>3201.66</v>
      </c>
      <c r="DR26" s="94">
        <v>3201.7</v>
      </c>
      <c r="DS26" s="94">
        <v>3201.7</v>
      </c>
      <c r="DT26" s="94">
        <v>1458</v>
      </c>
      <c r="DU26" s="94">
        <v>4825.4799999999996</v>
      </c>
      <c r="DV26" s="94">
        <v>4825.4799999999996</v>
      </c>
      <c r="DW26" s="94">
        <v>2482.83</v>
      </c>
      <c r="DX26" s="94">
        <v>4825.3999999999996</v>
      </c>
      <c r="DY26" s="94">
        <v>3425.4</v>
      </c>
      <c r="DZ26" s="94">
        <v>1425.4</v>
      </c>
      <c r="EA26" s="94">
        <v>1725.4</v>
      </c>
      <c r="EB26" s="93">
        <v>4976.1000000000004</v>
      </c>
      <c r="EC26" s="93">
        <v>4976.1000000000004</v>
      </c>
      <c r="ED26" s="93">
        <v>4976.1000000000004</v>
      </c>
      <c r="EE26" s="92">
        <f>EC26-EB26</f>
        <v>0</v>
      </c>
      <c r="EF26" s="92">
        <f>EC26/EB26*100</f>
        <v>100</v>
      </c>
      <c r="EG26" s="92">
        <f>EC26-ED26</f>
        <v>0</v>
      </c>
      <c r="EH26" s="92">
        <f>ED26/EC26*100</f>
        <v>100</v>
      </c>
      <c r="EI26" s="92">
        <f>ED26/DT26*100</f>
        <v>341.29629629629636</v>
      </c>
      <c r="EJ26" s="92">
        <f>ED26/EB26*100</f>
        <v>100</v>
      </c>
      <c r="EK26" s="92">
        <f>ED26/DS26*100</f>
        <v>155.42055782865353</v>
      </c>
      <c r="EL26" s="92">
        <f>EB26-DT26</f>
        <v>3518.1000000000004</v>
      </c>
      <c r="EM26" s="92">
        <f>EB26/DT26*100</f>
        <v>341.29629629629636</v>
      </c>
      <c r="EN26" s="67"/>
    </row>
    <row r="27" spans="1:144" s="85" customFormat="1" ht="14.25" customHeight="1" thickBot="1" x14ac:dyDescent="0.25">
      <c r="A27" s="159" t="s">
        <v>260</v>
      </c>
      <c r="B27" s="158">
        <v>6</v>
      </c>
      <c r="C27" s="158"/>
      <c r="D27" s="87"/>
      <c r="E27" s="157"/>
      <c r="F27" s="128"/>
      <c r="G27" s="128"/>
      <c r="H27" s="156"/>
      <c r="I27" s="128"/>
      <c r="J27" s="128"/>
      <c r="K27" s="128"/>
      <c r="L27" s="155"/>
      <c r="M27" s="155"/>
      <c r="N27" s="155"/>
      <c r="O27" s="155"/>
      <c r="P27" s="155"/>
      <c r="Q27" s="154"/>
      <c r="R27" s="151"/>
      <c r="S27" s="149"/>
      <c r="T27" s="151"/>
      <c r="U27" s="149"/>
      <c r="V27" s="128"/>
      <c r="W27" s="151"/>
      <c r="X27" s="151"/>
      <c r="Y27" s="153"/>
      <c r="Z27" s="153"/>
      <c r="AA27" s="153"/>
      <c r="AB27" s="152"/>
      <c r="AC27" s="151"/>
      <c r="AD27" s="151"/>
      <c r="AE27" s="150"/>
      <c r="AF27" s="150"/>
      <c r="AG27" s="149"/>
      <c r="AH27" s="128"/>
      <c r="AI27" s="149"/>
      <c r="AJ27" s="149"/>
      <c r="AK27" s="149"/>
      <c r="AL27" s="149"/>
      <c r="AM27" s="128"/>
      <c r="AN27" s="148"/>
      <c r="AO27" s="147"/>
      <c r="AP27" s="145"/>
      <c r="AQ27" s="145"/>
      <c r="AR27" s="145"/>
      <c r="AS27" s="145"/>
      <c r="AT27" s="145"/>
      <c r="AU27" s="128"/>
      <c r="AV27" s="128"/>
      <c r="AW27" s="128"/>
      <c r="AX27" s="128"/>
      <c r="AY27" s="128"/>
      <c r="AZ27" s="128"/>
      <c r="BA27" s="128"/>
      <c r="BB27" s="128"/>
      <c r="BC27" s="128"/>
      <c r="BD27" s="146"/>
      <c r="BE27" s="145"/>
      <c r="BF27" s="128"/>
      <c r="BG27" s="128"/>
      <c r="BH27" s="145"/>
      <c r="BI27" s="145"/>
      <c r="BJ27" s="144"/>
      <c r="BK27" s="144"/>
      <c r="BL27" s="144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83"/>
      <c r="DZ27" s="83"/>
      <c r="EA27" s="83"/>
      <c r="EB27" s="143">
        <f>EB28</f>
        <v>2</v>
      </c>
      <c r="EC27" s="143">
        <f>EC28</f>
        <v>2</v>
      </c>
      <c r="ED27" s="143">
        <f>ED28</f>
        <v>2</v>
      </c>
      <c r="EE27" s="86">
        <f>EC27-EB27</f>
        <v>0</v>
      </c>
      <c r="EF27" s="86">
        <f>EC27/EB27*100</f>
        <v>100</v>
      </c>
      <c r="EG27" s="86">
        <f>EC27-ED27</f>
        <v>0</v>
      </c>
      <c r="EH27" s="86">
        <f>ED27/EC27*100</f>
        <v>100</v>
      </c>
      <c r="EI27" s="86">
        <v>0</v>
      </c>
      <c r="EJ27" s="86">
        <f>ED27/EB27*100</f>
        <v>100</v>
      </c>
      <c r="EK27" s="86">
        <v>100</v>
      </c>
      <c r="EL27" s="86">
        <f>EB27-DT27</f>
        <v>2</v>
      </c>
      <c r="EM27" s="86">
        <v>100</v>
      </c>
      <c r="EN27" s="67"/>
    </row>
    <row r="28" spans="1:144" ht="12" customHeight="1" x14ac:dyDescent="0.2">
      <c r="A28" s="142" t="s">
        <v>259</v>
      </c>
      <c r="B28" s="141">
        <v>6</v>
      </c>
      <c r="C28" s="141">
        <v>5</v>
      </c>
      <c r="D28" s="112"/>
      <c r="E28" s="130"/>
      <c r="F28" s="95"/>
      <c r="G28" s="95"/>
      <c r="H28" s="129"/>
      <c r="I28" s="95"/>
      <c r="J28" s="95"/>
      <c r="K28" s="95"/>
      <c r="L28" s="127"/>
      <c r="M28" s="127"/>
      <c r="N28" s="127"/>
      <c r="O28" s="127"/>
      <c r="P28" s="127"/>
      <c r="Q28" s="126"/>
      <c r="R28" s="123"/>
      <c r="S28" s="121"/>
      <c r="T28" s="123"/>
      <c r="U28" s="121"/>
      <c r="V28" s="95"/>
      <c r="W28" s="123"/>
      <c r="X28" s="123"/>
      <c r="Y28" s="125"/>
      <c r="Z28" s="125"/>
      <c r="AA28" s="125"/>
      <c r="AB28" s="124"/>
      <c r="AC28" s="123"/>
      <c r="AD28" s="123"/>
      <c r="AE28" s="122"/>
      <c r="AF28" s="122"/>
      <c r="AG28" s="121"/>
      <c r="AH28" s="95"/>
      <c r="AI28" s="121"/>
      <c r="AJ28" s="121"/>
      <c r="AK28" s="121"/>
      <c r="AL28" s="121"/>
      <c r="AM28" s="95"/>
      <c r="AN28" s="120"/>
      <c r="AO28" s="119"/>
      <c r="AP28" s="117"/>
      <c r="AQ28" s="117"/>
      <c r="AR28" s="117"/>
      <c r="AS28" s="117"/>
      <c r="AT28" s="117"/>
      <c r="AU28" s="95"/>
      <c r="AV28" s="95"/>
      <c r="AW28" s="95"/>
      <c r="AX28" s="95"/>
      <c r="AY28" s="95"/>
      <c r="AZ28" s="95"/>
      <c r="BA28" s="95"/>
      <c r="BB28" s="95"/>
      <c r="BC28" s="95"/>
      <c r="BD28" s="140"/>
      <c r="BE28" s="117"/>
      <c r="BF28" s="95"/>
      <c r="BG28" s="95"/>
      <c r="BH28" s="117"/>
      <c r="BI28" s="117"/>
      <c r="BJ28" s="118"/>
      <c r="BK28" s="118"/>
      <c r="BL28" s="118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4"/>
      <c r="DZ28" s="94"/>
      <c r="EA28" s="94"/>
      <c r="EB28" s="139">
        <v>2</v>
      </c>
      <c r="EC28" s="139">
        <v>2</v>
      </c>
      <c r="ED28" s="139">
        <v>2</v>
      </c>
      <c r="EE28" s="92">
        <f>EC28-EB28</f>
        <v>0</v>
      </c>
      <c r="EF28" s="92">
        <f>EC28/EB28*100</f>
        <v>100</v>
      </c>
      <c r="EG28" s="92">
        <f>EC28-ED28</f>
        <v>0</v>
      </c>
      <c r="EH28" s="92">
        <f>ED28/EC28*100</f>
        <v>100</v>
      </c>
      <c r="EI28" s="92">
        <v>0</v>
      </c>
      <c r="EJ28" s="92">
        <f>ED28/EB28*100</f>
        <v>100</v>
      </c>
      <c r="EK28" s="92">
        <v>100</v>
      </c>
      <c r="EL28" s="92">
        <f>EB28-DT28</f>
        <v>2</v>
      </c>
      <c r="EM28" s="92">
        <v>100</v>
      </c>
      <c r="EN28" s="67"/>
    </row>
    <row r="29" spans="1:144" s="85" customFormat="1" ht="13.5" hidden="1" customHeight="1" x14ac:dyDescent="0.2">
      <c r="A29" s="91" t="s">
        <v>258</v>
      </c>
      <c r="B29" s="136" t="s">
        <v>256</v>
      </c>
      <c r="C29" s="133"/>
      <c r="D29" s="79">
        <f>D30</f>
        <v>5</v>
      </c>
      <c r="E29" s="83" t="str">
        <f>E30</f>
        <v>5</v>
      </c>
      <c r="F29" s="83">
        <f>F30</f>
        <v>55</v>
      </c>
      <c r="G29" s="83">
        <f>F29-E29</f>
        <v>50</v>
      </c>
      <c r="H29" s="88">
        <v>0</v>
      </c>
      <c r="I29" s="83">
        <f>I30</f>
        <v>55</v>
      </c>
      <c r="J29" s="83">
        <f>I29-F29</f>
        <v>0</v>
      </c>
      <c r="K29" s="83">
        <f>K30</f>
        <v>55</v>
      </c>
      <c r="L29" s="83">
        <f>L30</f>
        <v>1100</v>
      </c>
      <c r="M29" s="83">
        <f>M30</f>
        <v>100</v>
      </c>
      <c r="N29" s="83">
        <f>N30</f>
        <v>0.1328781523771273</v>
      </c>
      <c r="O29" s="83">
        <f>O30</f>
        <v>0</v>
      </c>
      <c r="P29" s="83">
        <f>P30</f>
        <v>0</v>
      </c>
      <c r="Q29" s="83">
        <f>Q30</f>
        <v>5</v>
      </c>
      <c r="R29" s="83">
        <f>R30</f>
        <v>5</v>
      </c>
      <c r="S29" s="83">
        <f>S30</f>
        <v>1</v>
      </c>
      <c r="T29" s="83">
        <f>T30</f>
        <v>0</v>
      </c>
      <c r="U29" s="83">
        <f>U30</f>
        <v>0</v>
      </c>
      <c r="V29" s="83">
        <f>V30</f>
        <v>-5</v>
      </c>
      <c r="W29" s="83">
        <f>W30</f>
        <v>0</v>
      </c>
      <c r="X29" s="83">
        <f>X30</f>
        <v>0</v>
      </c>
      <c r="Y29" s="83">
        <f>Y30</f>
        <v>0</v>
      </c>
      <c r="Z29" s="83">
        <f>Z30</f>
        <v>0</v>
      </c>
      <c r="AA29" s="83">
        <f>AA30</f>
        <v>0</v>
      </c>
      <c r="AB29" s="83">
        <f>AB30</f>
        <v>-1</v>
      </c>
      <c r="AC29" s="83">
        <f>AC30</f>
        <v>5</v>
      </c>
      <c r="AD29" s="83">
        <f>AD30</f>
        <v>5</v>
      </c>
      <c r="AE29" s="79">
        <f>AE30</f>
        <v>5</v>
      </c>
      <c r="AF29" s="79">
        <f>AF30</f>
        <v>5</v>
      </c>
      <c r="AG29" s="79">
        <f>AG30</f>
        <v>1</v>
      </c>
      <c r="AH29" s="79">
        <f>AH30</f>
        <v>0</v>
      </c>
      <c r="AI29" s="79">
        <f>AI30</f>
        <v>1</v>
      </c>
      <c r="AJ29" s="79">
        <f>AJ30</f>
        <v>1</v>
      </c>
      <c r="AK29" s="79">
        <f>AK30</f>
        <v>1</v>
      </c>
      <c r="AL29" s="79">
        <f>AL30</f>
        <v>1.2304186863784335E-4</v>
      </c>
      <c r="AM29" s="79">
        <f>AM30</f>
        <v>0</v>
      </c>
      <c r="AN29" s="79">
        <f>AN30</f>
        <v>0</v>
      </c>
      <c r="AO29" s="79">
        <f>AO30</f>
        <v>1</v>
      </c>
      <c r="AP29" s="79">
        <f>AP30</f>
        <v>0</v>
      </c>
      <c r="AQ29" s="79">
        <f>AQ30</f>
        <v>0</v>
      </c>
      <c r="AR29" s="79">
        <f>AR30</f>
        <v>0</v>
      </c>
      <c r="AS29" s="79">
        <f>AS30</f>
        <v>0</v>
      </c>
      <c r="AT29" s="79">
        <f>AT30</f>
        <v>0</v>
      </c>
      <c r="AU29" s="83">
        <f>AT29-AP29</f>
        <v>0</v>
      </c>
      <c r="AV29" s="83">
        <v>0</v>
      </c>
      <c r="AW29" s="79">
        <f>AW30</f>
        <v>0</v>
      </c>
      <c r="AX29" s="79">
        <f>AX30</f>
        <v>0</v>
      </c>
      <c r="AY29" s="79">
        <f>AY30</f>
        <v>0</v>
      </c>
      <c r="AZ29" s="79">
        <f>AZ30</f>
        <v>0</v>
      </c>
      <c r="BA29" s="79">
        <f>BA30</f>
        <v>0</v>
      </c>
      <c r="BB29" s="79">
        <f>BB30</f>
        <v>0</v>
      </c>
      <c r="BC29" s="79">
        <f>BC30</f>
        <v>0</v>
      </c>
      <c r="BD29" s="79">
        <f>BD30</f>
        <v>0</v>
      </c>
      <c r="BE29" s="79">
        <f>BE30</f>
        <v>0</v>
      </c>
      <c r="BF29" s="79">
        <f>BF30</f>
        <v>0</v>
      </c>
      <c r="BG29" s="79">
        <f>BG30</f>
        <v>0</v>
      </c>
      <c r="BH29" s="79">
        <f>BH30</f>
        <v>0</v>
      </c>
      <c r="BI29" s="79">
        <f>BI30</f>
        <v>0</v>
      </c>
      <c r="BJ29" s="79">
        <f>BJ30</f>
        <v>0</v>
      </c>
      <c r="BK29" s="79">
        <f>BK30</f>
        <v>0</v>
      </c>
      <c r="BL29" s="79">
        <f>BL30</f>
        <v>0</v>
      </c>
      <c r="BM29" s="79">
        <f>BM30</f>
        <v>0</v>
      </c>
      <c r="BN29" s="79">
        <f>BN30</f>
        <v>0</v>
      </c>
      <c r="BO29" s="79">
        <f>BO30</f>
        <v>0</v>
      </c>
      <c r="BP29" s="79">
        <f>BP30</f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79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87">
        <v>0</v>
      </c>
      <c r="CN29" s="87">
        <v>0</v>
      </c>
      <c r="CO29" s="79">
        <v>0</v>
      </c>
      <c r="CP29" s="79">
        <v>0</v>
      </c>
      <c r="CQ29" s="79">
        <v>0</v>
      </c>
      <c r="CR29" s="79">
        <v>0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</v>
      </c>
      <c r="DE29" s="79">
        <f>DE30</f>
        <v>0</v>
      </c>
      <c r="DF29" s="79">
        <f>DF30</f>
        <v>80.56</v>
      </c>
      <c r="DG29" s="79">
        <f>DG30</f>
        <v>80.599999999999994</v>
      </c>
      <c r="DH29" s="79">
        <f>DH30</f>
        <v>0</v>
      </c>
      <c r="DI29" s="79">
        <f>DI30</f>
        <v>0</v>
      </c>
      <c r="DJ29" s="79">
        <f>DJ30</f>
        <v>0</v>
      </c>
      <c r="DK29" s="79">
        <f>DK30</f>
        <v>0.19115606730780627</v>
      </c>
      <c r="DL29" s="79">
        <f>DL30</f>
        <v>0</v>
      </c>
      <c r="DM29" s="79">
        <f>DM30</f>
        <v>0</v>
      </c>
      <c r="DN29" s="79">
        <f>DN30</f>
        <v>0</v>
      </c>
      <c r="DO29" s="79">
        <f>DO30</f>
        <v>-80.599999999999994</v>
      </c>
      <c r="DP29" s="79">
        <f>DP30</f>
        <v>-100</v>
      </c>
      <c r="DQ29" s="79">
        <f>DQ30</f>
        <v>80.56</v>
      </c>
      <c r="DR29" s="79">
        <f>DR30</f>
        <v>80.599999999999994</v>
      </c>
      <c r="DS29" s="79">
        <f>DS30</f>
        <v>64.7</v>
      </c>
      <c r="DT29" s="79">
        <f>DT30</f>
        <v>0</v>
      </c>
      <c r="DU29" s="79">
        <f>DU30</f>
        <v>0</v>
      </c>
      <c r="DV29" s="79">
        <f>DV30</f>
        <v>0</v>
      </c>
      <c r="DW29" s="79">
        <f>DW30</f>
        <v>0</v>
      </c>
      <c r="DX29" s="79">
        <f>DX30</f>
        <v>0</v>
      </c>
      <c r="DY29" s="79">
        <f>DY30</f>
        <v>0</v>
      </c>
      <c r="DZ29" s="79">
        <f>DZ30</f>
        <v>0</v>
      </c>
      <c r="EA29" s="79">
        <f>EA30</f>
        <v>0</v>
      </c>
      <c r="EB29" s="79">
        <f>EB30</f>
        <v>0</v>
      </c>
      <c r="EC29" s="79">
        <f>EC30</f>
        <v>0</v>
      </c>
      <c r="ED29" s="79">
        <f>ED30</f>
        <v>0</v>
      </c>
      <c r="EE29" s="86">
        <f>EC29-EB29</f>
        <v>0</v>
      </c>
      <c r="EF29" s="86" t="e">
        <f>EC29/EB29*100</f>
        <v>#DIV/0!</v>
      </c>
      <c r="EG29" s="86">
        <f>EC29-ED29</f>
        <v>0</v>
      </c>
      <c r="EH29" s="86" t="e">
        <f>ED29/EC29*100</f>
        <v>#DIV/0!</v>
      </c>
      <c r="EI29" s="86" t="e">
        <f>ED29/DT29*100</f>
        <v>#DIV/0!</v>
      </c>
      <c r="EJ29" s="86" t="e">
        <f>ED29/EB29*100</f>
        <v>#DIV/0!</v>
      </c>
      <c r="EK29" s="86">
        <f>ED29/DS29*100</f>
        <v>0</v>
      </c>
      <c r="EL29" s="86">
        <f>EB29-DT29</f>
        <v>0</v>
      </c>
      <c r="EM29" s="86" t="e">
        <f>EB29/DT29*100</f>
        <v>#DIV/0!</v>
      </c>
      <c r="EN29" s="67"/>
    </row>
    <row r="30" spans="1:144" ht="22.5" hidden="1" customHeight="1" x14ac:dyDescent="0.2">
      <c r="A30" s="138" t="s">
        <v>257</v>
      </c>
      <c r="B30" s="115" t="s">
        <v>256</v>
      </c>
      <c r="C30" s="115" t="s">
        <v>256</v>
      </c>
      <c r="D30" s="111">
        <v>5</v>
      </c>
      <c r="E30" s="107" t="s">
        <v>255</v>
      </c>
      <c r="F30" s="94">
        <v>55</v>
      </c>
      <c r="G30" s="94">
        <f>F30-E30</f>
        <v>50</v>
      </c>
      <c r="H30" s="106">
        <f>F30/E30</f>
        <v>11</v>
      </c>
      <c r="I30" s="94">
        <v>55</v>
      </c>
      <c r="J30" s="83">
        <f>I30-F30</f>
        <v>0</v>
      </c>
      <c r="K30" s="94">
        <v>55</v>
      </c>
      <c r="L30" s="105">
        <f>K30/E30*100</f>
        <v>1100</v>
      </c>
      <c r="M30" s="105">
        <f>K30/F30*100</f>
        <v>100</v>
      </c>
      <c r="N30" s="105">
        <f>K30/$K$42*100</f>
        <v>0.1328781523771273</v>
      </c>
      <c r="O30" s="105">
        <f>K30-F30</f>
        <v>0</v>
      </c>
      <c r="P30" s="105">
        <v>0</v>
      </c>
      <c r="Q30" s="114">
        <v>5</v>
      </c>
      <c r="R30" s="102">
        <v>5</v>
      </c>
      <c r="S30" s="100">
        <f>R30/Q30</f>
        <v>1</v>
      </c>
      <c r="T30" s="102">
        <v>0</v>
      </c>
      <c r="U30" s="100">
        <f>T30/R30</f>
        <v>0</v>
      </c>
      <c r="V30" s="94">
        <f>T30-R30</f>
        <v>-5</v>
      </c>
      <c r="W30" s="102">
        <v>0</v>
      </c>
      <c r="X30" s="102">
        <v>0</v>
      </c>
      <c r="Y30" s="104">
        <f>T30/$T$42</f>
        <v>0</v>
      </c>
      <c r="Z30" s="104">
        <f>W30/$W$42</f>
        <v>0</v>
      </c>
      <c r="AA30" s="104">
        <f>X30/$X$42</f>
        <v>0</v>
      </c>
      <c r="AB30" s="103">
        <f>U30-100%</f>
        <v>-1</v>
      </c>
      <c r="AC30" s="102">
        <v>5</v>
      </c>
      <c r="AD30" s="102">
        <v>5</v>
      </c>
      <c r="AE30" s="101">
        <v>5</v>
      </c>
      <c r="AF30" s="101">
        <v>5</v>
      </c>
      <c r="AG30" s="100">
        <f>AF30/AE30</f>
        <v>1</v>
      </c>
      <c r="AH30" s="94">
        <f>AE30-AF30</f>
        <v>0</v>
      </c>
      <c r="AI30" s="100">
        <f>AF30/AC30</f>
        <v>1</v>
      </c>
      <c r="AJ30" s="100">
        <f>AF30/AD30</f>
        <v>1</v>
      </c>
      <c r="AK30" s="100">
        <f>AE30/AC30</f>
        <v>1</v>
      </c>
      <c r="AL30" s="100">
        <f>AF30/$AF$42</f>
        <v>1.2304186863784335E-4</v>
      </c>
      <c r="AM30" s="94">
        <f>AD30-AC30</f>
        <v>0</v>
      </c>
      <c r="AN30" s="99">
        <f>AE30-AD30</f>
        <v>0</v>
      </c>
      <c r="AO30" s="98">
        <f>AE30/AD30</f>
        <v>1</v>
      </c>
      <c r="AP30" s="93">
        <v>0</v>
      </c>
      <c r="AQ30" s="93">
        <v>0</v>
      </c>
      <c r="AR30" s="93"/>
      <c r="AS30" s="93">
        <v>0</v>
      </c>
      <c r="AT30" s="93">
        <v>0</v>
      </c>
      <c r="AU30" s="94">
        <f>AT30-AP30</f>
        <v>0</v>
      </c>
      <c r="AV30" s="94">
        <v>0</v>
      </c>
      <c r="AW30" s="94">
        <v>0</v>
      </c>
      <c r="AX30" s="94">
        <f>AW30-AT30</f>
        <v>0</v>
      </c>
      <c r="AY30" s="94">
        <v>0</v>
      </c>
      <c r="AZ30" s="94">
        <f>AT30-AY30</f>
        <v>0</v>
      </c>
      <c r="BA30" s="94">
        <v>0</v>
      </c>
      <c r="BB30" s="94">
        <v>0</v>
      </c>
      <c r="BC30" s="94">
        <v>0</v>
      </c>
      <c r="BD30" s="97">
        <f>AY30/AF30*100</f>
        <v>0</v>
      </c>
      <c r="BE30" s="93"/>
      <c r="BF30" s="94">
        <v>0</v>
      </c>
      <c r="BG30" s="94">
        <f>BE30-AT30</f>
        <v>0</v>
      </c>
      <c r="BH30" s="93">
        <v>0</v>
      </c>
      <c r="BI30" s="93">
        <v>0</v>
      </c>
      <c r="BJ30" s="96">
        <f>BE30/$BE$42*100</f>
        <v>0</v>
      </c>
      <c r="BK30" s="96">
        <f>BH30/$BH$42*100</f>
        <v>0</v>
      </c>
      <c r="BL30" s="96">
        <f>BI30/$BI$42*100</f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>
        <v>0</v>
      </c>
      <c r="CE30" s="94">
        <v>0</v>
      </c>
      <c r="CF30" s="94"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94">
        <v>0</v>
      </c>
      <c r="CM30" s="95">
        <v>0</v>
      </c>
      <c r="CN30" s="95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>
        <v>80.56</v>
      </c>
      <c r="DG30" s="94">
        <v>80.599999999999994</v>
      </c>
      <c r="DH30" s="94"/>
      <c r="DI30" s="94"/>
      <c r="DJ30" s="94"/>
      <c r="DK30" s="94">
        <f>DG30/$DG$42*100</f>
        <v>0.19115606730780627</v>
      </c>
      <c r="DL30" s="94">
        <f>DH30/$DH$42*100</f>
        <v>0</v>
      </c>
      <c r="DM30" s="94">
        <f>DI30/$DI$42*100</f>
        <v>0</v>
      </c>
      <c r="DN30" s="94">
        <f>DJ30/$DJ$42*100</f>
        <v>0</v>
      </c>
      <c r="DO30" s="94">
        <f>DH30-DG30</f>
        <v>-80.599999999999994</v>
      </c>
      <c r="DP30" s="94">
        <f>DH30/DG30*100-100</f>
        <v>-100</v>
      </c>
      <c r="DQ30" s="94">
        <v>80.56</v>
      </c>
      <c r="DR30" s="94">
        <v>80.599999999999994</v>
      </c>
      <c r="DS30" s="94">
        <v>64.7</v>
      </c>
      <c r="DT30" s="94"/>
      <c r="DU30" s="94"/>
      <c r="DV30" s="94"/>
      <c r="DW30" s="94"/>
      <c r="DX30" s="94"/>
      <c r="DY30" s="94"/>
      <c r="DZ30" s="94"/>
      <c r="EA30" s="94"/>
      <c r="EB30" s="93"/>
      <c r="EC30" s="93"/>
      <c r="ED30" s="93"/>
      <c r="EE30" s="92">
        <f>EC30-EB30</f>
        <v>0</v>
      </c>
      <c r="EF30" s="92" t="e">
        <f>EC30/EB30*100</f>
        <v>#DIV/0!</v>
      </c>
      <c r="EG30" s="92">
        <f>EC30-ED30</f>
        <v>0</v>
      </c>
      <c r="EH30" s="92" t="e">
        <f>ED30/EC30*100</f>
        <v>#DIV/0!</v>
      </c>
      <c r="EI30" s="92" t="e">
        <f>ED30/DT30*100</f>
        <v>#DIV/0!</v>
      </c>
      <c r="EJ30" s="92" t="e">
        <f>ED30/EB30*100</f>
        <v>#DIV/0!</v>
      </c>
      <c r="EK30" s="92">
        <f>ED30/DS30*100</f>
        <v>0</v>
      </c>
      <c r="EL30" s="92">
        <f>EB30-DT30</f>
        <v>0</v>
      </c>
      <c r="EM30" s="92" t="e">
        <f>EB30/DT30*100</f>
        <v>#DIV/0!</v>
      </c>
      <c r="EN30" s="67"/>
    </row>
    <row r="31" spans="1:144" s="85" customFormat="1" ht="14.25" customHeight="1" x14ac:dyDescent="0.2">
      <c r="A31" s="91" t="s">
        <v>254</v>
      </c>
      <c r="B31" s="133" t="s">
        <v>249</v>
      </c>
      <c r="C31" s="133"/>
      <c r="D31" s="79">
        <f>D32+D33+D34</f>
        <v>7649.773000000001</v>
      </c>
      <c r="E31" s="83">
        <f>E32+E33+E34</f>
        <v>7633</v>
      </c>
      <c r="F31" s="83">
        <f>F32+F33+F34</f>
        <v>8719.27</v>
      </c>
      <c r="G31" s="83">
        <f>G32+G33+G34</f>
        <v>1086.2700000000004</v>
      </c>
      <c r="H31" s="83">
        <f>H32+H33+H34</f>
        <v>1.1443931942044399</v>
      </c>
      <c r="I31" s="83">
        <f>I32+I33+I34</f>
        <v>8719.2729999999992</v>
      </c>
      <c r="J31" s="83">
        <f>I31-F31</f>
        <v>2.999999998792191E-3</v>
      </c>
      <c r="K31" s="83">
        <f>K32+K33+K34</f>
        <v>8265.469000000001</v>
      </c>
      <c r="L31" s="83" t="e">
        <f>L32+L33+L34</f>
        <v>#DIV/0!</v>
      </c>
      <c r="M31" s="83" t="e">
        <f>M32+M33+M34</f>
        <v>#DIV/0!</v>
      </c>
      <c r="N31" s="83">
        <f>N32+N33+N34</f>
        <v>19.969095440916767</v>
      </c>
      <c r="O31" s="83">
        <f>O32+O33+O34</f>
        <v>-453.80100000000039</v>
      </c>
      <c r="P31" s="83">
        <f>P32+P33+P34</f>
        <v>106.6106013864725</v>
      </c>
      <c r="Q31" s="83">
        <f>Q32+Q33+Q34</f>
        <v>9168.2000000000007</v>
      </c>
      <c r="R31" s="83">
        <f>R32+R33+R34</f>
        <v>9168.2000000000007</v>
      </c>
      <c r="S31" s="83">
        <f>S32+S33+S34</f>
        <v>2</v>
      </c>
      <c r="T31" s="83">
        <f>T32+T33+T34</f>
        <v>9494.5</v>
      </c>
      <c r="U31" s="83">
        <f>U32+U33+U34</f>
        <v>1.036721189753445</v>
      </c>
      <c r="V31" s="83">
        <f>V32+V33+V34</f>
        <v>326.29999999999927</v>
      </c>
      <c r="W31" s="83">
        <f>W32+W33+W34</f>
        <v>9823.1</v>
      </c>
      <c r="X31" s="83">
        <f>X32+X33+X34</f>
        <v>10189.1</v>
      </c>
      <c r="Y31" s="83">
        <f>Y32+Y33+Y34</f>
        <v>0.31399544277507885</v>
      </c>
      <c r="Z31" s="83">
        <f>Z32+Z33+Z34</f>
        <v>0.37815041941432131</v>
      </c>
      <c r="AA31" s="83">
        <f>AA32+AA33+AA34</f>
        <v>0.37264425239643489</v>
      </c>
      <c r="AB31" s="83">
        <f>AB32+AB33+AB34</f>
        <v>-1.963278810246555</v>
      </c>
      <c r="AC31" s="83">
        <f>AC32+AC33+AC34</f>
        <v>8616</v>
      </c>
      <c r="AD31" s="83">
        <f>AD32+AD33+AD34</f>
        <v>9253.4</v>
      </c>
      <c r="AE31" s="79">
        <f>AE32+AE33+AE34</f>
        <v>9253.5</v>
      </c>
      <c r="AF31" s="79">
        <f>AF32+AF33+AF34</f>
        <v>9009.3809999999994</v>
      </c>
      <c r="AG31" s="79">
        <f>AG32+AG33+AG34</f>
        <v>1.9735901985178774</v>
      </c>
      <c r="AH31" s="79">
        <f>AH32+AH33+AH34</f>
        <v>244.1190000000006</v>
      </c>
      <c r="AI31" s="79">
        <f>AI32+AI33+AI34</f>
        <v>1.0444964020427112</v>
      </c>
      <c r="AJ31" s="79">
        <f>AJ32+AJ33+AJ34</f>
        <v>1.9736007313326265</v>
      </c>
      <c r="AK31" s="79">
        <f>AK32+AK33+AK34</f>
        <v>1.0728296193129063</v>
      </c>
      <c r="AL31" s="79">
        <f>AL32+AL33+AL34</f>
        <v>0.22170621470205637</v>
      </c>
      <c r="AM31" s="79">
        <f>AM32+AM33+AM34</f>
        <v>637.39999999999964</v>
      </c>
      <c r="AN31" s="79">
        <f>AN32+AN33+AN34</f>
        <v>0.1000000000003638</v>
      </c>
      <c r="AO31" s="79" t="e">
        <f>AO32+AO33+AO34</f>
        <v>#DIV/0!</v>
      </c>
      <c r="AP31" s="79">
        <f>AP32+AP33+AP34</f>
        <v>9494.5</v>
      </c>
      <c r="AQ31" s="79">
        <f>AQ32+AQ33+AQ34</f>
        <v>9130</v>
      </c>
      <c r="AR31" s="79">
        <f>AR32+AR33+AR34</f>
        <v>0</v>
      </c>
      <c r="AS31" s="79">
        <f>AS32+AS33+AS34</f>
        <v>5375</v>
      </c>
      <c r="AT31" s="79">
        <f>AT32+AT33+AT34</f>
        <v>9612.7000000000007</v>
      </c>
      <c r="AU31" s="83">
        <f>AT31-AP31</f>
        <v>118.20000000000073</v>
      </c>
      <c r="AV31" s="83">
        <f>AT31/AP31*100</f>
        <v>101.24493127600189</v>
      </c>
      <c r="AW31" s="79">
        <f>AW32+AW33+AW34</f>
        <v>9612.5</v>
      </c>
      <c r="AX31" s="83">
        <f>AW31-AT31</f>
        <v>-0.2000000000007276</v>
      </c>
      <c r="AY31" s="79">
        <f>AY32+AY33+AY34</f>
        <v>9612.5</v>
      </c>
      <c r="AZ31" s="79">
        <f>AZ32+AZ33+AZ34</f>
        <v>0.2000000000007276</v>
      </c>
      <c r="BA31" s="79" t="e">
        <f>BA32+BA33+BA34</f>
        <v>#DIV/0!</v>
      </c>
      <c r="BB31" s="79" t="e">
        <f>BB32+BB33+BB34</f>
        <v>#DIV/0!</v>
      </c>
      <c r="BC31" s="79" t="e">
        <f>BC32+BC33+BC34</f>
        <v>#DIV/0!</v>
      </c>
      <c r="BD31" s="79" t="e">
        <f>BD32+BD33+BD34</f>
        <v>#DIV/0!</v>
      </c>
      <c r="BE31" s="79">
        <f>BE32+BE33+BE34</f>
        <v>7435.3</v>
      </c>
      <c r="BF31" s="79">
        <f>BF32+BF33+BF34</f>
        <v>78.311654115540577</v>
      </c>
      <c r="BG31" s="79">
        <f>BG32+BG33+BG34</f>
        <v>-2177.4000000000005</v>
      </c>
      <c r="BH31" s="79">
        <f>BH32+BH33+BH34</f>
        <v>7417.3</v>
      </c>
      <c r="BI31" s="79">
        <f>BI32+BI33+BI34</f>
        <v>7417.3</v>
      </c>
      <c r="BJ31" s="79">
        <f>BJ32+BJ33+BJ34</f>
        <v>28.019249031518971</v>
      </c>
      <c r="BK31" s="79">
        <f>BK32+BK33+BK34</f>
        <v>29.368234334539643</v>
      </c>
      <c r="BL31" s="79">
        <f>BL32+BL33+BL34</f>
        <v>27.004110342115901</v>
      </c>
      <c r="BM31" s="79">
        <f>BM32+BM33+BM34</f>
        <v>7435.3</v>
      </c>
      <c r="BN31" s="79">
        <f>BN32+BN33+BN34</f>
        <v>7487.3</v>
      </c>
      <c r="BO31" s="79">
        <f>BO32+BO33+BO34</f>
        <v>5926.3</v>
      </c>
      <c r="BP31" s="79">
        <f>BP32+BP33+BP34</f>
        <v>7487.3</v>
      </c>
      <c r="BQ31" s="79">
        <f>BQ32+BQ33+BQ34</f>
        <v>7282.4</v>
      </c>
      <c r="BR31" s="79">
        <f>BR32+BR33+BR34</f>
        <v>7282.3</v>
      </c>
      <c r="BS31" s="79">
        <f>BS32+BS33+BS34</f>
        <v>7282.3</v>
      </c>
      <c r="BT31" s="79">
        <f>BT32+BT33+BT34</f>
        <v>7282.3</v>
      </c>
      <c r="BU31" s="79">
        <f>BU32+BU33+BU34</f>
        <v>7282.3</v>
      </c>
      <c r="BV31" s="79">
        <f>BV32+BV33+BV34</f>
        <v>7282.3</v>
      </c>
      <c r="BW31" s="79">
        <f>BW32+BW33+BW34</f>
        <v>7282.3</v>
      </c>
      <c r="BX31" s="79">
        <f>BX32+BX33+BX34</f>
        <v>7282.3</v>
      </c>
      <c r="BY31" s="79">
        <f>BY32+BY33+BY34</f>
        <v>7282.3</v>
      </c>
      <c r="BZ31" s="79">
        <f>BZ32+BZ33+BZ34</f>
        <v>7282.3</v>
      </c>
      <c r="CA31" s="79">
        <f>CA32+CA33+CA34</f>
        <v>7282.3</v>
      </c>
      <c r="CB31" s="79">
        <f>CB32+CB33+CB34</f>
        <v>7282.3</v>
      </c>
      <c r="CC31" s="79">
        <f>CC32+CC33+CC34</f>
        <v>7282.3</v>
      </c>
      <c r="CD31" s="79">
        <f>CD32+CD33+CD34</f>
        <v>7282.3</v>
      </c>
      <c r="CE31" s="79">
        <f>CE32+CE33+CE34</f>
        <v>7282.3</v>
      </c>
      <c r="CF31" s="79">
        <f>CF32+CF33+CF34</f>
        <v>7282.3</v>
      </c>
      <c r="CG31" s="79">
        <f>CG32+CG33+CG34</f>
        <v>7282.3</v>
      </c>
      <c r="CH31" s="79">
        <f>CH32+CH33+CH34</f>
        <v>7282.3</v>
      </c>
      <c r="CI31" s="79">
        <f>CI32+CI33+CI34</f>
        <v>7282.3</v>
      </c>
      <c r="CJ31" s="79">
        <f>CJ32+CJ33+CJ34</f>
        <v>7282.3</v>
      </c>
      <c r="CK31" s="79">
        <f>CK32+CK33+CK34</f>
        <v>7282.3</v>
      </c>
      <c r="CL31" s="79">
        <f>CL32+CL33+CL34</f>
        <v>7282.3</v>
      </c>
      <c r="CM31" s="87">
        <f>CM32+CM33+CM34</f>
        <v>4493.3</v>
      </c>
      <c r="CN31" s="87">
        <f>CN32+CN33+CN34</f>
        <v>7040.35</v>
      </c>
      <c r="CO31" s="79">
        <f>CO32+CO33+CO34</f>
        <v>5990.1</v>
      </c>
      <c r="CP31" s="79">
        <f>CP32+CP33+CP34</f>
        <v>7040.4</v>
      </c>
      <c r="CQ31" s="79">
        <f>CQ32+CQ33+CQ34</f>
        <v>6976.4</v>
      </c>
      <c r="CR31" s="79">
        <f>CR32+CR33+CR34</f>
        <v>0</v>
      </c>
      <c r="CS31" s="79">
        <f>CS32+CS33+CS34</f>
        <v>0</v>
      </c>
      <c r="CT31" s="79">
        <f>CT32+CT33+CT34</f>
        <v>0</v>
      </c>
      <c r="CU31" s="79">
        <f>CU32+CU33+CU34</f>
        <v>0</v>
      </c>
      <c r="CV31" s="79">
        <f>CV32+CV33+CV34</f>
        <v>0</v>
      </c>
      <c r="CW31" s="79">
        <f>CW32+CW33+CW34</f>
        <v>0</v>
      </c>
      <c r="CX31" s="79">
        <f>CX32+CX33+CX34</f>
        <v>0</v>
      </c>
      <c r="CY31" s="79">
        <f>CY32+CY33+CY34</f>
        <v>0</v>
      </c>
      <c r="CZ31" s="79">
        <f>CZ32+CZ33+CZ34</f>
        <v>0</v>
      </c>
      <c r="DA31" s="79">
        <f>DA32+DA33+DA34</f>
        <v>0</v>
      </c>
      <c r="DB31" s="79">
        <f>DB32+DB33+DB34</f>
        <v>0</v>
      </c>
      <c r="DC31" s="79">
        <f>DC32+DC33+DC34</f>
        <v>6976.4</v>
      </c>
      <c r="DD31" s="79">
        <f>DD32+DD33+DD34</f>
        <v>6976.4</v>
      </c>
      <c r="DE31" s="79">
        <f>DE32+DE33+DE34</f>
        <v>6496.8</v>
      </c>
      <c r="DF31" s="79">
        <f>DF32+DF33+DF34</f>
        <v>6524.98</v>
      </c>
      <c r="DG31" s="79">
        <f>DG32+DG33+DG34</f>
        <v>6525</v>
      </c>
      <c r="DH31" s="79">
        <f>DH32+DH33+DH34</f>
        <v>7589</v>
      </c>
      <c r="DI31" s="79">
        <f>DI32+DI33+DI34</f>
        <v>7733.8</v>
      </c>
      <c r="DJ31" s="79">
        <f>DJ32+DJ33+DJ34</f>
        <v>7732.5</v>
      </c>
      <c r="DK31" s="79">
        <f>DK32+DK33+DK34</f>
        <v>15.475103463814342</v>
      </c>
      <c r="DL31" s="79">
        <f>DL32+DL33+DL34</f>
        <v>24.711337453517679</v>
      </c>
      <c r="DM31" s="79">
        <f>DM32+DM33+DM34</f>
        <v>25.742178788615099</v>
      </c>
      <c r="DN31" s="79">
        <f>DN32+DN33+DN34</f>
        <v>25.727575502490406</v>
      </c>
      <c r="DO31" s="79">
        <f>DO32+DO33+DO34</f>
        <v>1064</v>
      </c>
      <c r="DP31" s="79" t="e">
        <f>DP32+DP33+DP34</f>
        <v>#DIV/0!</v>
      </c>
      <c r="DQ31" s="79">
        <f>DQ32+DQ33+DQ34</f>
        <v>8594.7800000000007</v>
      </c>
      <c r="DR31" s="79">
        <f>DR32+DR33+DR34</f>
        <v>8594.7999999999993</v>
      </c>
      <c r="DS31" s="79">
        <f>DS32+DS33+DS34</f>
        <v>8594.7999999999993</v>
      </c>
      <c r="DT31" s="79">
        <f>DT32+DT33+DT34</f>
        <v>7589</v>
      </c>
      <c r="DU31" s="79">
        <f>DU32+DU33+DU34</f>
        <v>8837.91</v>
      </c>
      <c r="DV31" s="79">
        <f>DV32+DV33+DV34</f>
        <v>8837.91</v>
      </c>
      <c r="DW31" s="79">
        <f>DW32+DW33+DW34</f>
        <v>6677.46</v>
      </c>
      <c r="DX31" s="79">
        <f>DX32+DX33+DX34</f>
        <v>8837.9</v>
      </c>
      <c r="DY31" s="79">
        <f>DY32+DY33+DY34</f>
        <v>6703</v>
      </c>
      <c r="DZ31" s="79">
        <f>DZ32+DZ33+DZ34</f>
        <v>6698.8</v>
      </c>
      <c r="EA31" s="79">
        <f>EA32+EA33+EA34</f>
        <v>6697.5</v>
      </c>
      <c r="EB31" s="79">
        <f>EB32+EB33+EB34</f>
        <v>8272.2000000000007</v>
      </c>
      <c r="EC31" s="79">
        <f>EC32+EC33+EC34</f>
        <v>8272.2000000000007</v>
      </c>
      <c r="ED31" s="79">
        <f>ED32+ED33+ED34</f>
        <v>8272.1</v>
      </c>
      <c r="EE31" s="86">
        <f>EC31-EB31</f>
        <v>0</v>
      </c>
      <c r="EF31" s="86">
        <f>EC31/EB31*100</f>
        <v>100</v>
      </c>
      <c r="EG31" s="86">
        <f>EC31-ED31</f>
        <v>0.1000000000003638</v>
      </c>
      <c r="EH31" s="86">
        <f>ED31/EC31*100</f>
        <v>99.998791131742465</v>
      </c>
      <c r="EI31" s="86">
        <f>ED31/DT31*100</f>
        <v>109.00118592699961</v>
      </c>
      <c r="EJ31" s="86">
        <f>ED31/EB31*100</f>
        <v>99.998791131742465</v>
      </c>
      <c r="EK31" s="86">
        <f>ED31/DS31*100</f>
        <v>96.245404197887112</v>
      </c>
      <c r="EL31" s="86">
        <f>EB31-DT31</f>
        <v>683.20000000000073</v>
      </c>
      <c r="EM31" s="86">
        <f>EB31/DT31*100</f>
        <v>109.00250362366583</v>
      </c>
      <c r="EN31" s="67"/>
    </row>
    <row r="32" spans="1:144" ht="12" customHeight="1" x14ac:dyDescent="0.2">
      <c r="A32" s="138" t="s">
        <v>253</v>
      </c>
      <c r="B32" s="115" t="s">
        <v>249</v>
      </c>
      <c r="C32" s="115" t="s">
        <v>241</v>
      </c>
      <c r="D32" s="111">
        <f>3976.616+5.1+1187.563+33.491+24.293+221.597+22.997+161.046+173.256+817.039+249.762+355.559+113.058+13.145+120.349+36.227+26.675+6+106</f>
        <v>7649.773000000001</v>
      </c>
      <c r="E32" s="107" t="s">
        <v>252</v>
      </c>
      <c r="F32" s="94">
        <v>8609.27</v>
      </c>
      <c r="G32" s="94">
        <f>F32-E32</f>
        <v>1086.2700000000004</v>
      </c>
      <c r="H32" s="106">
        <f>F32/E32</f>
        <v>1.1443931942044399</v>
      </c>
      <c r="I32" s="94">
        <v>8609.2729999999992</v>
      </c>
      <c r="J32" s="83">
        <f>I32-F32</f>
        <v>2.999999998792191E-3</v>
      </c>
      <c r="K32" s="94">
        <f>106+4545.98+1066.883+20.885+59.261+9.299+4.399+1.795+3.452+12.31+198.723+27.639+91.091+154.659+332.681+532.065+5.155+441.685+88.977+8.114+112.284+80.943+1.75+27.079+66.5+4.82+151.04</f>
        <v>8155.4690000000001</v>
      </c>
      <c r="L32" s="105">
        <f>K32/E32*100</f>
        <v>108.40713810979663</v>
      </c>
      <c r="M32" s="105">
        <f>K32/F32*100</f>
        <v>94.728925913579204</v>
      </c>
      <c r="N32" s="105">
        <f>K32/$K$42*100</f>
        <v>19.703339136162512</v>
      </c>
      <c r="O32" s="105">
        <f>K32-F32</f>
        <v>-453.80100000000039</v>
      </c>
      <c r="P32" s="105">
        <f>K32/D32*100</f>
        <v>106.6106013864725</v>
      </c>
      <c r="Q32" s="114">
        <v>9158.2000000000007</v>
      </c>
      <c r="R32" s="102">
        <f>8941.2+217</f>
        <v>9158.2000000000007</v>
      </c>
      <c r="S32" s="100">
        <f>R32/Q32</f>
        <v>1</v>
      </c>
      <c r="T32" s="102">
        <v>9494.5</v>
      </c>
      <c r="U32" s="100">
        <f>T32/R32</f>
        <v>1.036721189753445</v>
      </c>
      <c r="V32" s="94">
        <f>T32-R32</f>
        <v>336.29999999999927</v>
      </c>
      <c r="W32" s="102">
        <v>9823.1</v>
      </c>
      <c r="X32" s="102">
        <v>10189.1</v>
      </c>
      <c r="Y32" s="104">
        <f>T32/$T$42</f>
        <v>0.31399544277507885</v>
      </c>
      <c r="Z32" s="104">
        <f>W32/$W$42</f>
        <v>0.37815041941432131</v>
      </c>
      <c r="AA32" s="104">
        <f>X32/$X$42</f>
        <v>0.37264425239643489</v>
      </c>
      <c r="AB32" s="103">
        <f>U32-100%</f>
        <v>3.6721189753444961E-2</v>
      </c>
      <c r="AC32" s="102">
        <v>8616</v>
      </c>
      <c r="AD32" s="102">
        <v>9243.4</v>
      </c>
      <c r="AE32" s="101">
        <v>9243.5</v>
      </c>
      <c r="AF32" s="101">
        <f>197+4620.922+1370.407+33.717+4.523+1.7+90.835+5.5+107.98+38.675+17.775+0.247+36.212+229.529+332.7+142.963+180.657+58.58+651.19+5.729+478.667+128.042+0.8+0.892+1.2+7.222+149.701+87.656+18.36</f>
        <v>8999.3809999999994</v>
      </c>
      <c r="AG32" s="100">
        <f>AF32/AE32</f>
        <v>0.97359019851787731</v>
      </c>
      <c r="AH32" s="94">
        <f>AE32-AF32</f>
        <v>244.1190000000006</v>
      </c>
      <c r="AI32" s="100">
        <f>AF32/AC32</f>
        <v>1.0444964020427112</v>
      </c>
      <c r="AJ32" s="100">
        <f>AF32/AD32</f>
        <v>0.97360073133262648</v>
      </c>
      <c r="AK32" s="100">
        <f>AE32/AC32</f>
        <v>1.0728296193129063</v>
      </c>
      <c r="AL32" s="100">
        <f>AF32/$AF$42</f>
        <v>0.22146013096478068</v>
      </c>
      <c r="AM32" s="94">
        <f>AD32-AC32</f>
        <v>627.39999999999964</v>
      </c>
      <c r="AN32" s="99">
        <f>AE32-AD32</f>
        <v>0.1000000000003638</v>
      </c>
      <c r="AO32" s="98">
        <f>AE32/AD32</f>
        <v>1.0000108185299781</v>
      </c>
      <c r="AP32" s="93">
        <v>9494.5</v>
      </c>
      <c r="AQ32" s="93">
        <v>9105</v>
      </c>
      <c r="AR32" s="93"/>
      <c r="AS32" s="93">
        <v>5350</v>
      </c>
      <c r="AT32" s="93">
        <v>9587.7000000000007</v>
      </c>
      <c r="AU32" s="94">
        <f>AT32-AP32</f>
        <v>93.200000000000728</v>
      </c>
      <c r="AV32" s="94">
        <f>AT32/AP32*100</f>
        <v>100.98162093843806</v>
      </c>
      <c r="AW32" s="94">
        <v>9587.5</v>
      </c>
      <c r="AX32" s="94">
        <f>AW32-AT32</f>
        <v>-0.2000000000007276</v>
      </c>
      <c r="AY32" s="94">
        <v>9587.5</v>
      </c>
      <c r="AZ32" s="94">
        <f>AT32-AY32</f>
        <v>0.2000000000007276</v>
      </c>
      <c r="BA32" s="94">
        <f>AY32/AT32*100</f>
        <v>99.997913993971437</v>
      </c>
      <c r="BB32" s="94">
        <f>AY32/AW32*100</f>
        <v>100</v>
      </c>
      <c r="BC32" s="94">
        <f>AY32/AP32*100</f>
        <v>100.97951445573754</v>
      </c>
      <c r="BD32" s="97">
        <f>AY32/AF32*100</f>
        <v>106.53510502555676</v>
      </c>
      <c r="BE32" s="93">
        <v>7435.3</v>
      </c>
      <c r="BF32" s="94">
        <f>BE32/AP32*100</f>
        <v>78.311654115540577</v>
      </c>
      <c r="BG32" s="94">
        <f>BE32-AT32</f>
        <v>-2152.4000000000005</v>
      </c>
      <c r="BH32" s="93">
        <v>7417.3</v>
      </c>
      <c r="BI32" s="93">
        <v>7417.3</v>
      </c>
      <c r="BJ32" s="96">
        <f>BE32/$BE$42*100</f>
        <v>28.019249031518971</v>
      </c>
      <c r="BK32" s="96">
        <f>BH32/$BH$42*100</f>
        <v>29.368234334539643</v>
      </c>
      <c r="BL32" s="96">
        <f>BI32/$BI$42*100</f>
        <v>27.004110342115901</v>
      </c>
      <c r="BM32" s="94">
        <v>7435.3</v>
      </c>
      <c r="BN32" s="94">
        <v>7487.3</v>
      </c>
      <c r="BO32" s="94">
        <v>5926.3</v>
      </c>
      <c r="BP32" s="94">
        <v>7487.3</v>
      </c>
      <c r="BQ32" s="94">
        <v>7282.4</v>
      </c>
      <c r="BR32" s="94">
        <v>7282.3</v>
      </c>
      <c r="BS32" s="94">
        <v>7282.3</v>
      </c>
      <c r="BT32" s="94">
        <v>7282.3</v>
      </c>
      <c r="BU32" s="94">
        <v>7282.3</v>
      </c>
      <c r="BV32" s="94">
        <v>7282.3</v>
      </c>
      <c r="BW32" s="94">
        <v>7282.3</v>
      </c>
      <c r="BX32" s="94">
        <v>7282.3</v>
      </c>
      <c r="BY32" s="94">
        <v>7282.3</v>
      </c>
      <c r="BZ32" s="94">
        <v>7282.3</v>
      </c>
      <c r="CA32" s="94">
        <v>7282.3</v>
      </c>
      <c r="CB32" s="94">
        <v>7282.3</v>
      </c>
      <c r="CC32" s="94">
        <v>7282.3</v>
      </c>
      <c r="CD32" s="94">
        <v>7282.3</v>
      </c>
      <c r="CE32" s="94">
        <v>7282.3</v>
      </c>
      <c r="CF32" s="94">
        <v>7282.3</v>
      </c>
      <c r="CG32" s="94">
        <v>7282.3</v>
      </c>
      <c r="CH32" s="94">
        <v>7282.3</v>
      </c>
      <c r="CI32" s="94">
        <v>7282.3</v>
      </c>
      <c r="CJ32" s="94">
        <v>7282.3</v>
      </c>
      <c r="CK32" s="94">
        <v>7282.3</v>
      </c>
      <c r="CL32" s="94">
        <v>7282.3</v>
      </c>
      <c r="CM32" s="95">
        <v>4493.3</v>
      </c>
      <c r="CN32" s="95">
        <v>7010.35</v>
      </c>
      <c r="CO32" s="94">
        <v>5990.1</v>
      </c>
      <c r="CP32" s="94">
        <v>7010.4</v>
      </c>
      <c r="CQ32" s="94">
        <v>6946.4</v>
      </c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>
        <v>6946.4</v>
      </c>
      <c r="DD32" s="111">
        <v>6946.4</v>
      </c>
      <c r="DE32" s="94">
        <v>6496.8</v>
      </c>
      <c r="DF32" s="94">
        <v>6499.98</v>
      </c>
      <c r="DG32" s="94">
        <v>6500</v>
      </c>
      <c r="DH32" s="94">
        <v>7589</v>
      </c>
      <c r="DI32" s="94">
        <v>7733.8</v>
      </c>
      <c r="DJ32" s="94">
        <v>7732.5</v>
      </c>
      <c r="DK32" s="94">
        <f>DG32/$DG$42*100</f>
        <v>15.415811879661797</v>
      </c>
      <c r="DL32" s="94">
        <f>DH32/$DH$42*100</f>
        <v>24.711337453517679</v>
      </c>
      <c r="DM32" s="94">
        <f>DI32/$DI$42*100</f>
        <v>25.742178788615099</v>
      </c>
      <c r="DN32" s="94">
        <f>DJ32/$DJ$42*100</f>
        <v>25.727575502490406</v>
      </c>
      <c r="DO32" s="94">
        <f>DH32-DG32</f>
        <v>1089</v>
      </c>
      <c r="DP32" s="94">
        <f>DH32/DG32*100-100</f>
        <v>16.753846153846169</v>
      </c>
      <c r="DQ32" s="94">
        <v>8569.7800000000007</v>
      </c>
      <c r="DR32" s="94">
        <v>8569.7999999999993</v>
      </c>
      <c r="DS32" s="94">
        <v>8569.7999999999993</v>
      </c>
      <c r="DT32" s="94">
        <v>7589</v>
      </c>
      <c r="DU32" s="94">
        <v>8837.91</v>
      </c>
      <c r="DV32" s="94">
        <v>8837.91</v>
      </c>
      <c r="DW32" s="94">
        <v>6677.46</v>
      </c>
      <c r="DX32" s="94">
        <v>8837.9</v>
      </c>
      <c r="DY32" s="94">
        <v>6703</v>
      </c>
      <c r="DZ32" s="94">
        <v>6698.8</v>
      </c>
      <c r="EA32" s="94">
        <v>6697.5</v>
      </c>
      <c r="EB32" s="93">
        <v>8272.2000000000007</v>
      </c>
      <c r="EC32" s="93">
        <f>8272.1+0.1</f>
        <v>8272.2000000000007</v>
      </c>
      <c r="ED32" s="93">
        <v>8272.1</v>
      </c>
      <c r="EE32" s="92">
        <f>EC32-EB32</f>
        <v>0</v>
      </c>
      <c r="EF32" s="92">
        <f>EC32/EB32*100</f>
        <v>100</v>
      </c>
      <c r="EG32" s="92">
        <f>EC32-ED32</f>
        <v>0.1000000000003638</v>
      </c>
      <c r="EH32" s="92">
        <f>ED32/EC32*100</f>
        <v>99.998791131742465</v>
      </c>
      <c r="EI32" s="92">
        <f>ED32/DT32*100</f>
        <v>109.00118592699961</v>
      </c>
      <c r="EJ32" s="92">
        <f>ED32/EB32*100</f>
        <v>99.998791131742465</v>
      </c>
      <c r="EK32" s="92">
        <f>ED32/DS32*100</f>
        <v>96.526173306261526</v>
      </c>
      <c r="EL32" s="92">
        <f>EB32-DT32</f>
        <v>683.20000000000073</v>
      </c>
      <c r="EM32" s="92">
        <f>EB32/DT32*100</f>
        <v>109.00250362366583</v>
      </c>
      <c r="EN32" s="67"/>
    </row>
    <row r="33" spans="1:144" ht="15" hidden="1" customHeight="1" x14ac:dyDescent="0.2">
      <c r="A33" s="134" t="s">
        <v>251</v>
      </c>
      <c r="B33" s="107" t="s">
        <v>249</v>
      </c>
      <c r="C33" s="107" t="s">
        <v>237</v>
      </c>
      <c r="D33" s="108"/>
      <c r="E33" s="107"/>
      <c r="F33" s="94"/>
      <c r="G33" s="94">
        <f>F33-E33</f>
        <v>0</v>
      </c>
      <c r="H33" s="106">
        <v>0</v>
      </c>
      <c r="I33" s="94"/>
      <c r="J33" s="83">
        <f>I33-F33</f>
        <v>0</v>
      </c>
      <c r="K33" s="94"/>
      <c r="L33" s="105" t="e">
        <f>K33/E33*100</f>
        <v>#DIV/0!</v>
      </c>
      <c r="M33" s="105" t="e">
        <f>K33/F33*100</f>
        <v>#DIV/0!</v>
      </c>
      <c r="N33" s="105">
        <f>K33/$K$42*100</f>
        <v>0</v>
      </c>
      <c r="O33" s="105">
        <f>K33-F33</f>
        <v>0</v>
      </c>
      <c r="P33" s="105">
        <v>0</v>
      </c>
      <c r="Q33" s="114"/>
      <c r="R33" s="102"/>
      <c r="S33" s="100">
        <v>0</v>
      </c>
      <c r="T33" s="102"/>
      <c r="U33" s="100">
        <v>0</v>
      </c>
      <c r="V33" s="94">
        <f>T33-R33</f>
        <v>0</v>
      </c>
      <c r="W33" s="102"/>
      <c r="X33" s="102"/>
      <c r="Y33" s="104">
        <f>T33/$T$42</f>
        <v>0</v>
      </c>
      <c r="Z33" s="104">
        <f>W33/$W$42</f>
        <v>0</v>
      </c>
      <c r="AA33" s="104">
        <f>X33/$X$42</f>
        <v>0</v>
      </c>
      <c r="AB33" s="103">
        <f>U33-100%</f>
        <v>-1</v>
      </c>
      <c r="AC33" s="102">
        <v>0</v>
      </c>
      <c r="AD33" s="102">
        <v>0</v>
      </c>
      <c r="AE33" s="101">
        <v>0</v>
      </c>
      <c r="AF33" s="101">
        <v>0</v>
      </c>
      <c r="AG33" s="100">
        <v>0</v>
      </c>
      <c r="AH33" s="94">
        <f>AE33-AF33</f>
        <v>0</v>
      </c>
      <c r="AI33" s="100">
        <v>0</v>
      </c>
      <c r="AJ33" s="100">
        <v>0</v>
      </c>
      <c r="AK33" s="100">
        <v>0</v>
      </c>
      <c r="AL33" s="100">
        <f>AF33/$AF$42</f>
        <v>0</v>
      </c>
      <c r="AM33" s="94">
        <f>AD33-AC33</f>
        <v>0</v>
      </c>
      <c r="AN33" s="99">
        <f>AE33-AD33</f>
        <v>0</v>
      </c>
      <c r="AO33" s="98" t="e">
        <f>AE33/AD33</f>
        <v>#DIV/0!</v>
      </c>
      <c r="AP33" s="93"/>
      <c r="AQ33" s="93"/>
      <c r="AR33" s="93"/>
      <c r="AS33" s="93"/>
      <c r="AT33" s="93"/>
      <c r="AU33" s="94">
        <f>AT33-AP33</f>
        <v>0</v>
      </c>
      <c r="AV33" s="94" t="e">
        <f>AT33/AP33*100</f>
        <v>#DIV/0!</v>
      </c>
      <c r="AW33" s="94"/>
      <c r="AX33" s="94">
        <f>AW33-AT33</f>
        <v>0</v>
      </c>
      <c r="AY33" s="94"/>
      <c r="AZ33" s="94">
        <f>AT33-AY33</f>
        <v>0</v>
      </c>
      <c r="BA33" s="94" t="e">
        <f>AY33/AT33*100</f>
        <v>#DIV/0!</v>
      </c>
      <c r="BB33" s="94" t="e">
        <f>AY33/AW33*100</f>
        <v>#DIV/0!</v>
      </c>
      <c r="BC33" s="94" t="e">
        <f>AY33/AP33*100</f>
        <v>#DIV/0!</v>
      </c>
      <c r="BD33" s="97" t="e">
        <f>AY33/AF33*100</f>
        <v>#DIV/0!</v>
      </c>
      <c r="BE33" s="93"/>
      <c r="BF33" s="94">
        <v>0</v>
      </c>
      <c r="BG33" s="94">
        <f>BE33-AT33</f>
        <v>0</v>
      </c>
      <c r="BH33" s="93"/>
      <c r="BI33" s="93"/>
      <c r="BJ33" s="96">
        <f>BE33/$BE$42*100</f>
        <v>0</v>
      </c>
      <c r="BK33" s="96">
        <f>BH33/$BH$42*100</f>
        <v>0</v>
      </c>
      <c r="BL33" s="96">
        <f>BI33/$BI$42*100</f>
        <v>0</v>
      </c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5"/>
      <c r="CN33" s="95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>
        <f>DG33/$DG$42*100</f>
        <v>0</v>
      </c>
      <c r="DL33" s="94">
        <f>DH33/$DH$42*100</f>
        <v>0</v>
      </c>
      <c r="DM33" s="94">
        <f>DI33/$DI$42*100</f>
        <v>0</v>
      </c>
      <c r="DN33" s="94">
        <f>DJ33/$DJ$42*100</f>
        <v>0</v>
      </c>
      <c r="DO33" s="94">
        <f>DH33-DG33</f>
        <v>0</v>
      </c>
      <c r="DP33" s="94" t="e">
        <f>DH33/DG33*100-100</f>
        <v>#DIV/0!</v>
      </c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3"/>
      <c r="EC33" s="93"/>
      <c r="ED33" s="93"/>
      <c r="EE33" s="92">
        <f>EC33-EB33</f>
        <v>0</v>
      </c>
      <c r="EF33" s="92" t="e">
        <f>EC33/EB33*100</f>
        <v>#DIV/0!</v>
      </c>
      <c r="EG33" s="92">
        <f>EC33-ED33</f>
        <v>0</v>
      </c>
      <c r="EH33" s="92" t="e">
        <f>ED33/EC33*100</f>
        <v>#DIV/0!</v>
      </c>
      <c r="EI33" s="92" t="e">
        <f>ED33/DT33*100</f>
        <v>#DIV/0!</v>
      </c>
      <c r="EJ33" s="92" t="e">
        <f>ED33/EB33*100</f>
        <v>#DIV/0!</v>
      </c>
      <c r="EK33" s="92" t="e">
        <f>ED33/DS33*100</f>
        <v>#DIV/0!</v>
      </c>
      <c r="EL33" s="92">
        <f>EB33-DT33</f>
        <v>0</v>
      </c>
      <c r="EM33" s="92" t="e">
        <f>EB33/DT33*100</f>
        <v>#DIV/0!</v>
      </c>
      <c r="EN33" s="67"/>
    </row>
    <row r="34" spans="1:144" ht="23.25" hidden="1" customHeight="1" x14ac:dyDescent="0.2">
      <c r="A34" s="134" t="s">
        <v>250</v>
      </c>
      <c r="B34" s="107" t="s">
        <v>249</v>
      </c>
      <c r="C34" s="107" t="s">
        <v>248</v>
      </c>
      <c r="D34" s="108"/>
      <c r="E34" s="107" t="s">
        <v>247</v>
      </c>
      <c r="F34" s="94">
        <v>110</v>
      </c>
      <c r="G34" s="94">
        <f>F34-E34</f>
        <v>0</v>
      </c>
      <c r="H34" s="106">
        <v>0</v>
      </c>
      <c r="I34" s="94">
        <v>110</v>
      </c>
      <c r="J34" s="83">
        <f>I34-F34</f>
        <v>0</v>
      </c>
      <c r="K34" s="94">
        <v>110</v>
      </c>
      <c r="L34" s="105">
        <f>K34/E34*100</f>
        <v>100</v>
      </c>
      <c r="M34" s="105">
        <f>K34/F34*100</f>
        <v>100</v>
      </c>
      <c r="N34" s="105">
        <f>K34/$K$42*100</f>
        <v>0.2657563047542546</v>
      </c>
      <c r="O34" s="105">
        <f>K34-F34</f>
        <v>0</v>
      </c>
      <c r="P34" s="105">
        <v>0</v>
      </c>
      <c r="Q34" s="114">
        <v>10</v>
      </c>
      <c r="R34" s="102">
        <v>10</v>
      </c>
      <c r="S34" s="100">
        <f>R34/Q34</f>
        <v>1</v>
      </c>
      <c r="T34" s="102"/>
      <c r="U34" s="100">
        <v>0</v>
      </c>
      <c r="V34" s="94">
        <f>T34-R34</f>
        <v>-10</v>
      </c>
      <c r="W34" s="102"/>
      <c r="X34" s="102"/>
      <c r="Y34" s="104">
        <f>T34/$T$42</f>
        <v>0</v>
      </c>
      <c r="Z34" s="104">
        <f>W34/$W$42</f>
        <v>0</v>
      </c>
      <c r="AA34" s="104">
        <f>X34/$X$42</f>
        <v>0</v>
      </c>
      <c r="AB34" s="103">
        <f>U34-100%</f>
        <v>-1</v>
      </c>
      <c r="AC34" s="102">
        <v>0</v>
      </c>
      <c r="AD34" s="102">
        <v>10</v>
      </c>
      <c r="AE34" s="101">
        <v>10</v>
      </c>
      <c r="AF34" s="101">
        <v>10</v>
      </c>
      <c r="AG34" s="100">
        <f>AF34/AE34</f>
        <v>1</v>
      </c>
      <c r="AH34" s="94">
        <f>AE34-AF34</f>
        <v>0</v>
      </c>
      <c r="AI34" s="100">
        <v>0</v>
      </c>
      <c r="AJ34" s="100">
        <f>AF34/AD34</f>
        <v>1</v>
      </c>
      <c r="AK34" s="100">
        <v>0</v>
      </c>
      <c r="AL34" s="100">
        <f>AF34/$AF$42</f>
        <v>2.460837372756867E-4</v>
      </c>
      <c r="AM34" s="94">
        <f>AD34-AC34</f>
        <v>10</v>
      </c>
      <c r="AN34" s="99">
        <f>AE34-AD34</f>
        <v>0</v>
      </c>
      <c r="AO34" s="98">
        <f>AE34/AD34</f>
        <v>1</v>
      </c>
      <c r="AP34" s="93"/>
      <c r="AQ34" s="93">
        <v>25</v>
      </c>
      <c r="AR34" s="93"/>
      <c r="AS34" s="93">
        <v>25</v>
      </c>
      <c r="AT34" s="93">
        <v>25</v>
      </c>
      <c r="AU34" s="94">
        <f>AT34-AP34</f>
        <v>25</v>
      </c>
      <c r="AV34" s="94">
        <v>0</v>
      </c>
      <c r="AW34" s="94">
        <v>25</v>
      </c>
      <c r="AX34" s="94">
        <f>AW34-AT34</f>
        <v>0</v>
      </c>
      <c r="AY34" s="94">
        <v>25</v>
      </c>
      <c r="AZ34" s="94">
        <f>AT34-AY34</f>
        <v>0</v>
      </c>
      <c r="BA34" s="94">
        <f>AY34/AT34*100</f>
        <v>100</v>
      </c>
      <c r="BB34" s="94">
        <f>AY34/AW34*100</f>
        <v>100</v>
      </c>
      <c r="BC34" s="94">
        <v>0</v>
      </c>
      <c r="BD34" s="97">
        <f>AY34/AF34*100</f>
        <v>250</v>
      </c>
      <c r="BE34" s="93"/>
      <c r="BF34" s="94">
        <v>0</v>
      </c>
      <c r="BG34" s="94">
        <f>BE34-AT34</f>
        <v>-25</v>
      </c>
      <c r="BH34" s="93"/>
      <c r="BI34" s="93"/>
      <c r="BJ34" s="96">
        <f>BE34/$BE$42*100</f>
        <v>0</v>
      </c>
      <c r="BK34" s="96">
        <f>BH34/$BH$42*100</f>
        <v>0</v>
      </c>
      <c r="BL34" s="96">
        <f>BI34/$BI$42*100</f>
        <v>0</v>
      </c>
      <c r="BM34" s="94"/>
      <c r="BN34" s="94"/>
      <c r="BO34" s="94"/>
      <c r="BP34" s="94"/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>
        <v>0</v>
      </c>
      <c r="CE34" s="94">
        <v>0</v>
      </c>
      <c r="CF34" s="94">
        <v>0</v>
      </c>
      <c r="CG34" s="94">
        <v>0</v>
      </c>
      <c r="CH34" s="94">
        <v>0</v>
      </c>
      <c r="CI34" s="94">
        <v>0</v>
      </c>
      <c r="CJ34" s="94">
        <v>0</v>
      </c>
      <c r="CK34" s="94">
        <v>0</v>
      </c>
      <c r="CL34" s="94">
        <v>0</v>
      </c>
      <c r="CM34" s="95"/>
      <c r="CN34" s="95">
        <v>30</v>
      </c>
      <c r="CO34" s="94"/>
      <c r="CP34" s="94">
        <v>30</v>
      </c>
      <c r="CQ34" s="94">
        <v>30</v>
      </c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>
        <v>30</v>
      </c>
      <c r="DD34" s="94">
        <v>30</v>
      </c>
      <c r="DE34" s="94"/>
      <c r="DF34" s="94">
        <v>25</v>
      </c>
      <c r="DG34" s="94">
        <v>25</v>
      </c>
      <c r="DH34" s="94"/>
      <c r="DI34" s="94"/>
      <c r="DJ34" s="94"/>
      <c r="DK34" s="94">
        <f>DG34/$DG$42*100</f>
        <v>5.9291584152545374E-2</v>
      </c>
      <c r="DL34" s="94">
        <f>DH34/$DH$42*100</f>
        <v>0</v>
      </c>
      <c r="DM34" s="94">
        <f>DI34/$DI$42*100</f>
        <v>0</v>
      </c>
      <c r="DN34" s="94">
        <f>DJ34/$DJ$42*100</f>
        <v>0</v>
      </c>
      <c r="DO34" s="94">
        <f>DH34-DG34</f>
        <v>-25</v>
      </c>
      <c r="DP34" s="94">
        <f>DH34/DG34*100-100</f>
        <v>-100</v>
      </c>
      <c r="DQ34" s="94">
        <v>25</v>
      </c>
      <c r="DR34" s="94">
        <v>25</v>
      </c>
      <c r="DS34" s="94">
        <v>25</v>
      </c>
      <c r="DT34" s="94"/>
      <c r="DU34" s="94"/>
      <c r="DV34" s="94"/>
      <c r="DW34" s="94"/>
      <c r="DX34" s="94"/>
      <c r="DY34" s="94"/>
      <c r="DZ34" s="94"/>
      <c r="EA34" s="94"/>
      <c r="EB34" s="93"/>
      <c r="EC34" s="93"/>
      <c r="ED34" s="93"/>
      <c r="EE34" s="92"/>
      <c r="EF34" s="92"/>
      <c r="EG34" s="92"/>
      <c r="EH34" s="92"/>
      <c r="EI34" s="92"/>
      <c r="EJ34" s="92"/>
      <c r="EK34" s="92"/>
      <c r="EL34" s="92"/>
      <c r="EM34" s="92"/>
      <c r="EN34" s="67"/>
    </row>
    <row r="35" spans="1:144" ht="15" customHeight="1" x14ac:dyDescent="0.2">
      <c r="A35" s="137" t="s">
        <v>246</v>
      </c>
      <c r="B35" s="136" t="s">
        <v>244</v>
      </c>
      <c r="C35" s="136"/>
      <c r="D35" s="135">
        <f>D36</f>
        <v>0</v>
      </c>
      <c r="E35" s="83">
        <f>E36</f>
        <v>0</v>
      </c>
      <c r="F35" s="83">
        <f>F36</f>
        <v>0</v>
      </c>
      <c r="G35" s="83">
        <f>F35-E35</f>
        <v>0</v>
      </c>
      <c r="H35" s="106">
        <v>0</v>
      </c>
      <c r="I35" s="83">
        <f>I36</f>
        <v>0</v>
      </c>
      <c r="J35" s="83">
        <f>I35-F35</f>
        <v>0</v>
      </c>
      <c r="K35" s="83">
        <f>K36</f>
        <v>0</v>
      </c>
      <c r="L35" s="83" t="e">
        <f>L36</f>
        <v>#DIV/0!</v>
      </c>
      <c r="M35" s="83" t="e">
        <f>M36</f>
        <v>#DIV/0!</v>
      </c>
      <c r="N35" s="83">
        <f>N36</f>
        <v>0</v>
      </c>
      <c r="O35" s="83">
        <f>O36</f>
        <v>0</v>
      </c>
      <c r="P35" s="83">
        <f>P36</f>
        <v>0</v>
      </c>
      <c r="Q35" s="83">
        <f>Q36</f>
        <v>0</v>
      </c>
      <c r="R35" s="83">
        <f>R36</f>
        <v>0</v>
      </c>
      <c r="S35" s="83">
        <f>S36</f>
        <v>0</v>
      </c>
      <c r="T35" s="83">
        <f>T36</f>
        <v>0</v>
      </c>
      <c r="U35" s="83">
        <f>U36</f>
        <v>0</v>
      </c>
      <c r="V35" s="83">
        <f>V36</f>
        <v>0</v>
      </c>
      <c r="W35" s="83">
        <f>W36</f>
        <v>0</v>
      </c>
      <c r="X35" s="83">
        <f>X36</f>
        <v>0</v>
      </c>
      <c r="Y35" s="83">
        <f>Y36</f>
        <v>0</v>
      </c>
      <c r="Z35" s="83">
        <f>Z36</f>
        <v>0</v>
      </c>
      <c r="AA35" s="83">
        <f>AA36</f>
        <v>0</v>
      </c>
      <c r="AB35" s="83">
        <f>AB36</f>
        <v>-1</v>
      </c>
      <c r="AC35" s="83">
        <f>AC36</f>
        <v>0</v>
      </c>
      <c r="AD35" s="83">
        <f>AD36</f>
        <v>0</v>
      </c>
      <c r="AE35" s="79">
        <f>AE36</f>
        <v>0</v>
      </c>
      <c r="AF35" s="79">
        <f>AF36</f>
        <v>0</v>
      </c>
      <c r="AG35" s="79">
        <f>AG36</f>
        <v>0</v>
      </c>
      <c r="AH35" s="79">
        <f>AH36</f>
        <v>0</v>
      </c>
      <c r="AI35" s="79">
        <f>AI36</f>
        <v>0</v>
      </c>
      <c r="AJ35" s="79">
        <f>AJ36</f>
        <v>0</v>
      </c>
      <c r="AK35" s="79">
        <f>AK36</f>
        <v>0</v>
      </c>
      <c r="AL35" s="79">
        <f>AL36</f>
        <v>0</v>
      </c>
      <c r="AM35" s="79">
        <f>AM36</f>
        <v>0</v>
      </c>
      <c r="AN35" s="79">
        <f>AN36</f>
        <v>0</v>
      </c>
      <c r="AO35" s="79" t="e">
        <f>AO36</f>
        <v>#DIV/0!</v>
      </c>
      <c r="AP35" s="79">
        <f>AP36</f>
        <v>0</v>
      </c>
      <c r="AQ35" s="79">
        <f>AQ36</f>
        <v>0</v>
      </c>
      <c r="AR35" s="79"/>
      <c r="AS35" s="79">
        <f>AS36</f>
        <v>0</v>
      </c>
      <c r="AT35" s="79">
        <f>AT36</f>
        <v>0</v>
      </c>
      <c r="AU35" s="94">
        <f>AT35-AP35</f>
        <v>0</v>
      </c>
      <c r="AV35" s="94" t="e">
        <f>AT35/AP35*100</f>
        <v>#DIV/0!</v>
      </c>
      <c r="AW35" s="94"/>
      <c r="AX35" s="94">
        <f>AW35-AT35</f>
        <v>0</v>
      </c>
      <c r="AY35" s="94"/>
      <c r="AZ35" s="94">
        <f>AT35-AY35</f>
        <v>0</v>
      </c>
      <c r="BA35" s="94" t="e">
        <f>AY35/AT35*100</f>
        <v>#DIV/0!</v>
      </c>
      <c r="BB35" s="94" t="e">
        <f>AY35/AW35*100</f>
        <v>#DIV/0!</v>
      </c>
      <c r="BC35" s="94" t="e">
        <f>AY35/AP35*100</f>
        <v>#DIV/0!</v>
      </c>
      <c r="BD35" s="97" t="e">
        <f>AY35/AF35*100</f>
        <v>#DIV/0!</v>
      </c>
      <c r="BE35" s="79">
        <f>BE36</f>
        <v>0</v>
      </c>
      <c r="BF35" s="94" t="e">
        <f>BE35/AP35*100</f>
        <v>#DIV/0!</v>
      </c>
      <c r="BG35" s="94">
        <f>BE35-AT35</f>
        <v>0</v>
      </c>
      <c r="BH35" s="79">
        <f>BH36</f>
        <v>0</v>
      </c>
      <c r="BI35" s="79">
        <f>BI36</f>
        <v>0</v>
      </c>
      <c r="BJ35" s="96">
        <f>BE35/$BE$42*100</f>
        <v>0</v>
      </c>
      <c r="BK35" s="96">
        <f>BH35/$BH$42*100</f>
        <v>0</v>
      </c>
      <c r="BL35" s="96">
        <f>BI35/$BI$42*100</f>
        <v>0</v>
      </c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5"/>
      <c r="CN35" s="95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>
        <f>DG35/$DG$42*100</f>
        <v>0</v>
      </c>
      <c r="DL35" s="94">
        <f>DH35/$DH$42*100</f>
        <v>0</v>
      </c>
      <c r="DM35" s="94">
        <f>DI35/$DI$42*100</f>
        <v>0</v>
      </c>
      <c r="DN35" s="94">
        <f>DJ35/$DJ$42*100</f>
        <v>0</v>
      </c>
      <c r="DO35" s="94">
        <f>DH35-DG35</f>
        <v>0</v>
      </c>
      <c r="DP35" s="94" t="e">
        <f>DH35/DG35*100-100</f>
        <v>#DIV/0!</v>
      </c>
      <c r="DQ35" s="94"/>
      <c r="DR35" s="94"/>
      <c r="DS35" s="94"/>
      <c r="DT35" s="94"/>
      <c r="DU35" s="83">
        <f>DU36</f>
        <v>39.299999999999997</v>
      </c>
      <c r="DV35" s="83">
        <f>DV36</f>
        <v>28.18</v>
      </c>
      <c r="DW35" s="83">
        <f>DW36</f>
        <v>0</v>
      </c>
      <c r="DX35" s="83">
        <f>DX36</f>
        <v>39.299999999999997</v>
      </c>
      <c r="DY35" s="83">
        <f>DY36</f>
        <v>203.7</v>
      </c>
      <c r="DZ35" s="83">
        <f>DZ36</f>
        <v>203.7</v>
      </c>
      <c r="EA35" s="83">
        <f>EA36</f>
        <v>203.7</v>
      </c>
      <c r="EB35" s="83">
        <f>EB36</f>
        <v>39.299999999999997</v>
      </c>
      <c r="EC35" s="83">
        <f>EC36</f>
        <v>39.299999999999997</v>
      </c>
      <c r="ED35" s="83">
        <f>ED36</f>
        <v>39.299999999999997</v>
      </c>
      <c r="EE35" s="86">
        <f>EC35-EB35</f>
        <v>0</v>
      </c>
      <c r="EF35" s="86">
        <f>EC35/EB35*100</f>
        <v>100</v>
      </c>
      <c r="EG35" s="86">
        <f>EC35-ED35</f>
        <v>0</v>
      </c>
      <c r="EH35" s="86">
        <f>ED35/EC35*100</f>
        <v>100</v>
      </c>
      <c r="EI35" s="86">
        <v>0</v>
      </c>
      <c r="EJ35" s="86">
        <f>ED35/EB35*100</f>
        <v>100</v>
      </c>
      <c r="EK35" s="86">
        <v>100</v>
      </c>
      <c r="EL35" s="86">
        <f>EB35-DT35</f>
        <v>39.299999999999997</v>
      </c>
      <c r="EM35" s="86">
        <v>100</v>
      </c>
      <c r="EN35" s="67"/>
    </row>
    <row r="36" spans="1:144" ht="15" customHeight="1" x14ac:dyDescent="0.2">
      <c r="A36" s="134" t="s">
        <v>245</v>
      </c>
      <c r="B36" s="107" t="s">
        <v>244</v>
      </c>
      <c r="C36" s="107" t="s">
        <v>241</v>
      </c>
      <c r="D36" s="108"/>
      <c r="E36" s="107"/>
      <c r="F36" s="94"/>
      <c r="G36" s="94">
        <f>F36-E36</f>
        <v>0</v>
      </c>
      <c r="H36" s="106">
        <v>0</v>
      </c>
      <c r="I36" s="94"/>
      <c r="J36" s="83">
        <f>I36-F36</f>
        <v>0</v>
      </c>
      <c r="K36" s="94"/>
      <c r="L36" s="105" t="e">
        <f>K36/E36*100</f>
        <v>#DIV/0!</v>
      </c>
      <c r="M36" s="105" t="e">
        <f>K36/F36*100</f>
        <v>#DIV/0!</v>
      </c>
      <c r="N36" s="105">
        <f>K36/$K$42*100</f>
        <v>0</v>
      </c>
      <c r="O36" s="105">
        <f>K36-F36</f>
        <v>0</v>
      </c>
      <c r="P36" s="105">
        <v>0</v>
      </c>
      <c r="Q36" s="114"/>
      <c r="R36" s="102"/>
      <c r="S36" s="100">
        <v>0</v>
      </c>
      <c r="T36" s="102">
        <v>0</v>
      </c>
      <c r="U36" s="100">
        <v>0</v>
      </c>
      <c r="V36" s="94">
        <f>T36-R36</f>
        <v>0</v>
      </c>
      <c r="W36" s="102"/>
      <c r="X36" s="102"/>
      <c r="Y36" s="104">
        <f>T36/$T$42</f>
        <v>0</v>
      </c>
      <c r="Z36" s="104">
        <f>W36/$W$42</f>
        <v>0</v>
      </c>
      <c r="AA36" s="104">
        <f>X36/$X$42</f>
        <v>0</v>
      </c>
      <c r="AB36" s="103">
        <f>U36-100%</f>
        <v>-1</v>
      </c>
      <c r="AC36" s="102">
        <v>0</v>
      </c>
      <c r="AD36" s="102">
        <v>0</v>
      </c>
      <c r="AE36" s="101">
        <v>0</v>
      </c>
      <c r="AF36" s="101"/>
      <c r="AG36" s="100">
        <v>0</v>
      </c>
      <c r="AH36" s="94">
        <f>AE36-AF36</f>
        <v>0</v>
      </c>
      <c r="AI36" s="100">
        <v>0</v>
      </c>
      <c r="AJ36" s="100">
        <v>0</v>
      </c>
      <c r="AK36" s="100">
        <v>0</v>
      </c>
      <c r="AL36" s="100">
        <f>AF36/$AF$42</f>
        <v>0</v>
      </c>
      <c r="AM36" s="94">
        <f>AD36-AC36</f>
        <v>0</v>
      </c>
      <c r="AN36" s="99">
        <f>AE36-AD36</f>
        <v>0</v>
      </c>
      <c r="AO36" s="98" t="e">
        <f>AE36/AD36</f>
        <v>#DIV/0!</v>
      </c>
      <c r="AP36" s="93">
        <v>0</v>
      </c>
      <c r="AQ36" s="93">
        <v>0</v>
      </c>
      <c r="AR36" s="93"/>
      <c r="AS36" s="93"/>
      <c r="AT36" s="93"/>
      <c r="AU36" s="94">
        <f>AT36-AP36</f>
        <v>0</v>
      </c>
      <c r="AV36" s="94" t="e">
        <f>AT36/AP36*100</f>
        <v>#DIV/0!</v>
      </c>
      <c r="AW36" s="94"/>
      <c r="AX36" s="94">
        <f>AW36-AT36</f>
        <v>0</v>
      </c>
      <c r="AY36" s="94"/>
      <c r="AZ36" s="94">
        <f>AT36-AY36</f>
        <v>0</v>
      </c>
      <c r="BA36" s="94" t="e">
        <f>AY36/AT36*100</f>
        <v>#DIV/0!</v>
      </c>
      <c r="BB36" s="94" t="e">
        <f>AY36/AW36*100</f>
        <v>#DIV/0!</v>
      </c>
      <c r="BC36" s="94" t="e">
        <f>AY36/AP36*100</f>
        <v>#DIV/0!</v>
      </c>
      <c r="BD36" s="97" t="e">
        <f>AY36/AF36*100</f>
        <v>#DIV/0!</v>
      </c>
      <c r="BE36" s="93"/>
      <c r="BF36" s="94" t="e">
        <f>BE36/AP36*100</f>
        <v>#DIV/0!</v>
      </c>
      <c r="BG36" s="94">
        <f>BE36-AT36</f>
        <v>0</v>
      </c>
      <c r="BH36" s="93"/>
      <c r="BI36" s="93"/>
      <c r="BJ36" s="96">
        <f>BE36/$BE$42*100</f>
        <v>0</v>
      </c>
      <c r="BK36" s="96">
        <f>BH36/$BH$42*100</f>
        <v>0</v>
      </c>
      <c r="BL36" s="96">
        <f>BI36/$BI$42*100</f>
        <v>0</v>
      </c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  <c r="CN36" s="95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>
        <f>DG36/$DG$42*100</f>
        <v>0</v>
      </c>
      <c r="DL36" s="94">
        <f>DH36/$DH$42*100</f>
        <v>0</v>
      </c>
      <c r="DM36" s="94">
        <f>DI36/$DI$42*100</f>
        <v>0</v>
      </c>
      <c r="DN36" s="94">
        <f>DJ36/$DJ$42*100</f>
        <v>0</v>
      </c>
      <c r="DO36" s="94">
        <f>DH36-DG36</f>
        <v>0</v>
      </c>
      <c r="DP36" s="94" t="e">
        <f>DH36/DG36*100-100</f>
        <v>#DIV/0!</v>
      </c>
      <c r="DQ36" s="94"/>
      <c r="DR36" s="94"/>
      <c r="DS36" s="94"/>
      <c r="DT36" s="94"/>
      <c r="DU36" s="94">
        <v>39.299999999999997</v>
      </c>
      <c r="DV36" s="94">
        <v>28.18</v>
      </c>
      <c r="DW36" s="94">
        <v>0</v>
      </c>
      <c r="DX36" s="94">
        <v>39.299999999999997</v>
      </c>
      <c r="DY36" s="94">
        <v>203.7</v>
      </c>
      <c r="DZ36" s="94">
        <v>203.7</v>
      </c>
      <c r="EA36" s="94">
        <v>203.7</v>
      </c>
      <c r="EB36" s="93">
        <v>39.299999999999997</v>
      </c>
      <c r="EC36" s="93">
        <v>39.299999999999997</v>
      </c>
      <c r="ED36" s="93">
        <v>39.299999999999997</v>
      </c>
      <c r="EE36" s="92">
        <f>EC36-EB36</f>
        <v>0</v>
      </c>
      <c r="EF36" s="92">
        <f>EC36/EB36*100</f>
        <v>100</v>
      </c>
      <c r="EG36" s="92">
        <f>EC36-ED36</f>
        <v>0</v>
      </c>
      <c r="EH36" s="92">
        <f>ED36/EC36*100</f>
        <v>100</v>
      </c>
      <c r="EI36" s="92">
        <v>0</v>
      </c>
      <c r="EJ36" s="92">
        <f>ED36/EB36*100</f>
        <v>100</v>
      </c>
      <c r="EK36" s="92">
        <v>100</v>
      </c>
      <c r="EL36" s="92">
        <f>EB36-DT36</f>
        <v>39.299999999999997</v>
      </c>
      <c r="EM36" s="92">
        <v>100</v>
      </c>
      <c r="EN36" s="67"/>
    </row>
    <row r="37" spans="1:144" s="85" customFormat="1" ht="23.25" customHeight="1" x14ac:dyDescent="0.2">
      <c r="A37" s="91" t="s">
        <v>243</v>
      </c>
      <c r="B37" s="133" t="s">
        <v>238</v>
      </c>
      <c r="C37" s="133"/>
      <c r="D37" s="79">
        <f>D38+D39</f>
        <v>109.854</v>
      </c>
      <c r="E37" s="83">
        <f>E38+E39</f>
        <v>20</v>
      </c>
      <c r="F37" s="83">
        <f>F38+F39</f>
        <v>70.47999999999999</v>
      </c>
      <c r="G37" s="83">
        <f>F37-E37</f>
        <v>50.47999999999999</v>
      </c>
      <c r="H37" s="88">
        <f>F37/E37</f>
        <v>3.5239999999999996</v>
      </c>
      <c r="I37" s="83">
        <f>I38+I39</f>
        <v>70.47999999999999</v>
      </c>
      <c r="J37" s="83">
        <f>I37-F37</f>
        <v>0</v>
      </c>
      <c r="K37" s="83">
        <f>K38+K39</f>
        <v>70.48</v>
      </c>
      <c r="L37" s="83" t="e">
        <f>L38+L39</f>
        <v>#DIV/0!</v>
      </c>
      <c r="M37" s="83">
        <f>M38+M39</f>
        <v>200.00000000000003</v>
      </c>
      <c r="N37" s="83">
        <f>N38+N39</f>
        <v>0.17027731235527152</v>
      </c>
      <c r="O37" s="83">
        <f>O38+O39</f>
        <v>0</v>
      </c>
      <c r="P37" s="83">
        <f>P38+P39</f>
        <v>132.29741292988876</v>
      </c>
      <c r="Q37" s="83">
        <f>Q38+Q39</f>
        <v>55</v>
      </c>
      <c r="R37" s="83">
        <f>R38+R39</f>
        <v>55</v>
      </c>
      <c r="S37" s="83">
        <f>S38+S39</f>
        <v>2</v>
      </c>
      <c r="T37" s="83">
        <f>T38+T39</f>
        <v>54</v>
      </c>
      <c r="U37" s="83">
        <f>U38+U39</f>
        <v>1.95</v>
      </c>
      <c r="V37" s="83">
        <f>V38+V39</f>
        <v>-1</v>
      </c>
      <c r="W37" s="83">
        <f>W38+W39</f>
        <v>54</v>
      </c>
      <c r="X37" s="83">
        <f>X38+X39</f>
        <v>54</v>
      </c>
      <c r="Y37" s="83">
        <f>Y38+Y39</f>
        <v>1.7858501142613361E-3</v>
      </c>
      <c r="Z37" s="83">
        <f>Z38+Z39</f>
        <v>2.0787859889824342E-3</v>
      </c>
      <c r="AA37" s="83">
        <f>AA38+AA39</f>
        <v>1.9749329802835856E-3</v>
      </c>
      <c r="AB37" s="83">
        <f>AB38+AB39</f>
        <v>-5.0000000000000044E-2</v>
      </c>
      <c r="AC37" s="83">
        <f>AC38+AC39</f>
        <v>20</v>
      </c>
      <c r="AD37" s="83">
        <f>AD38+AD39</f>
        <v>55</v>
      </c>
      <c r="AE37" s="79">
        <f>AE38+AE39</f>
        <v>55</v>
      </c>
      <c r="AF37" s="79">
        <f>AF38+AF39</f>
        <v>55</v>
      </c>
      <c r="AG37" s="79">
        <f>AG38+AG39</f>
        <v>2</v>
      </c>
      <c r="AH37" s="79">
        <f>AH38+AH39</f>
        <v>0</v>
      </c>
      <c r="AI37" s="79">
        <f>AI38+AI39</f>
        <v>1</v>
      </c>
      <c r="AJ37" s="79">
        <f>AJ38+AJ39</f>
        <v>2</v>
      </c>
      <c r="AK37" s="79">
        <f>AK38+AK39</f>
        <v>1</v>
      </c>
      <c r="AL37" s="79">
        <f>AL38+AL39</f>
        <v>1.3534605550162768E-3</v>
      </c>
      <c r="AM37" s="79">
        <f>AM38+AM39</f>
        <v>35</v>
      </c>
      <c r="AN37" s="79">
        <f>AN38+AN39</f>
        <v>0</v>
      </c>
      <c r="AO37" s="79">
        <f>AO38+AO39</f>
        <v>2</v>
      </c>
      <c r="AP37" s="79">
        <f>AP38+AP39</f>
        <v>54</v>
      </c>
      <c r="AQ37" s="79">
        <f>AQ38+AQ39</f>
        <v>1634</v>
      </c>
      <c r="AR37" s="79">
        <f>AR38+AR39</f>
        <v>0</v>
      </c>
      <c r="AS37" s="79">
        <f>AS38+AS39</f>
        <v>2216.3000000000002</v>
      </c>
      <c r="AT37" s="79">
        <f>AT38+AT39</f>
        <v>2789</v>
      </c>
      <c r="AU37" s="83">
        <f>AT37-AP37</f>
        <v>2735</v>
      </c>
      <c r="AV37" s="83">
        <f>AT37/AP37*100</f>
        <v>5164.8148148148148</v>
      </c>
      <c r="AW37" s="79">
        <f>AW38+AW39</f>
        <v>2789</v>
      </c>
      <c r="AX37" s="83">
        <f>AW37-AT37</f>
        <v>0</v>
      </c>
      <c r="AY37" s="79">
        <f>AY38+AY39</f>
        <v>2789</v>
      </c>
      <c r="AZ37" s="79">
        <f>AZ38+AZ39</f>
        <v>0</v>
      </c>
      <c r="BA37" s="79">
        <f>BA38+BA39</f>
        <v>100</v>
      </c>
      <c r="BB37" s="79">
        <f>BB38+BB39</f>
        <v>100</v>
      </c>
      <c r="BC37" s="79">
        <f>BC38+BC39</f>
        <v>14678.947368421052</v>
      </c>
      <c r="BD37" s="79">
        <f>BD38+BD39</f>
        <v>13944.999999999998</v>
      </c>
      <c r="BE37" s="79">
        <f>BE38+BE39</f>
        <v>2959</v>
      </c>
      <c r="BF37" s="79">
        <f>BF38+BF39</f>
        <v>15573.684210526315</v>
      </c>
      <c r="BG37" s="79">
        <f>BG38+BG39</f>
        <v>170</v>
      </c>
      <c r="BH37" s="79">
        <f>BH38+BH39</f>
        <v>2905</v>
      </c>
      <c r="BI37" s="79">
        <f>BI38+BI39</f>
        <v>2959</v>
      </c>
      <c r="BJ37" s="79">
        <f>BJ38+BJ39</f>
        <v>11.150721273420661</v>
      </c>
      <c r="BK37" s="79">
        <f>BK38+BK39</f>
        <v>11.502126210593836</v>
      </c>
      <c r="BL37" s="79">
        <f>BL38+BL39</f>
        <v>10.772809850258309</v>
      </c>
      <c r="BM37" s="79">
        <f>BM38+BM39</f>
        <v>2959</v>
      </c>
      <c r="BN37" s="79">
        <f>BN38+BN39</f>
        <v>2969</v>
      </c>
      <c r="BO37" s="79">
        <f>BO38+BO39</f>
        <v>2438.6999999999998</v>
      </c>
      <c r="BP37" s="79">
        <f>BP38+BP39</f>
        <v>2969</v>
      </c>
      <c r="BQ37" s="79">
        <f>BQ38+BQ39</f>
        <v>3212.5</v>
      </c>
      <c r="BR37" s="79">
        <f>BR38+BR39</f>
        <v>3212.5</v>
      </c>
      <c r="BS37" s="79">
        <f>BS38+BS39</f>
        <v>3212.5</v>
      </c>
      <c r="BT37" s="79">
        <f>BT38+BT39</f>
        <v>3213.5</v>
      </c>
      <c r="BU37" s="79">
        <f>BU38+BU39</f>
        <v>3214.5</v>
      </c>
      <c r="BV37" s="79">
        <f>BV38+BV39</f>
        <v>3215.5</v>
      </c>
      <c r="BW37" s="79">
        <f>BW38+BW39</f>
        <v>3216.5</v>
      </c>
      <c r="BX37" s="79">
        <f>BX38+BX39</f>
        <v>3217.5</v>
      </c>
      <c r="BY37" s="79">
        <f>BY38+BY39</f>
        <v>3218.5</v>
      </c>
      <c r="BZ37" s="79">
        <f>BZ38+BZ39</f>
        <v>3219.5</v>
      </c>
      <c r="CA37" s="79">
        <f>CA38+CA39</f>
        <v>3220.5</v>
      </c>
      <c r="CB37" s="79">
        <f>CB38+CB39</f>
        <v>3221.5</v>
      </c>
      <c r="CC37" s="79">
        <f>CC38+CC39</f>
        <v>3222.5</v>
      </c>
      <c r="CD37" s="79">
        <f>CD38+CD39</f>
        <v>3223.5</v>
      </c>
      <c r="CE37" s="79">
        <f>CE38+CE39</f>
        <v>3224.5</v>
      </c>
      <c r="CF37" s="79">
        <f>CF38+CF39</f>
        <v>3225.5</v>
      </c>
      <c r="CG37" s="79">
        <f>CG38+CG39</f>
        <v>3226.5</v>
      </c>
      <c r="CH37" s="79">
        <f>CH38+CH39</f>
        <v>3227.5</v>
      </c>
      <c r="CI37" s="79">
        <f>CI38+CI39</f>
        <v>3228.5</v>
      </c>
      <c r="CJ37" s="79">
        <f>CJ38+CJ39</f>
        <v>3229.5</v>
      </c>
      <c r="CK37" s="79">
        <f>CK38+CK39</f>
        <v>3230.5</v>
      </c>
      <c r="CL37" s="79">
        <f>CL38+CL39</f>
        <v>3231.5</v>
      </c>
      <c r="CM37" s="87">
        <f>CM38+CM39</f>
        <v>2983</v>
      </c>
      <c r="CN37" s="87">
        <f>CN38+CN39</f>
        <v>3457.53</v>
      </c>
      <c r="CO37" s="79">
        <f>CO38+CO39</f>
        <v>3167.2</v>
      </c>
      <c r="CP37" s="79">
        <f>CP38+CP39</f>
        <v>3457.5</v>
      </c>
      <c r="CQ37" s="79">
        <f>CQ38+CQ39</f>
        <v>3559.46</v>
      </c>
      <c r="CR37" s="79">
        <f>CR38+CR39</f>
        <v>0</v>
      </c>
      <c r="CS37" s="79">
        <f>CS38+CS39</f>
        <v>0</v>
      </c>
      <c r="CT37" s="79">
        <f>CT38+CT39</f>
        <v>0</v>
      </c>
      <c r="CU37" s="79">
        <f>CU38+CU39</f>
        <v>0</v>
      </c>
      <c r="CV37" s="79">
        <f>CV38+CV39</f>
        <v>0</v>
      </c>
      <c r="CW37" s="79">
        <f>CW38+CW39</f>
        <v>0</v>
      </c>
      <c r="CX37" s="79">
        <f>CX38+CX39</f>
        <v>0</v>
      </c>
      <c r="CY37" s="79">
        <f>CY38+CY39</f>
        <v>0</v>
      </c>
      <c r="CZ37" s="79">
        <f>CZ38+CZ39</f>
        <v>0</v>
      </c>
      <c r="DA37" s="79">
        <f>DA38+DA39</f>
        <v>0</v>
      </c>
      <c r="DB37" s="79">
        <f>DB38+DB39</f>
        <v>0</v>
      </c>
      <c r="DC37" s="79">
        <f>DC38+DC39</f>
        <v>3559.5</v>
      </c>
      <c r="DD37" s="79">
        <f>DD38+DD39</f>
        <v>3559.5</v>
      </c>
      <c r="DE37" s="79">
        <f>DE38+DE39</f>
        <v>2717</v>
      </c>
      <c r="DF37" s="79">
        <f>DF38+DF39</f>
        <v>2717</v>
      </c>
      <c r="DG37" s="79">
        <f>DG38+DG39</f>
        <v>2717</v>
      </c>
      <c r="DH37" s="79">
        <f>DH38+DH39</f>
        <v>4627</v>
      </c>
      <c r="DI37" s="79">
        <f>DI38+DI39</f>
        <v>4627</v>
      </c>
      <c r="DJ37" s="79">
        <f>DJ38+DJ39</f>
        <v>4627</v>
      </c>
      <c r="DK37" s="79">
        <f>DK38+DK39</f>
        <v>6.4438093656986313</v>
      </c>
      <c r="DL37" s="79">
        <f>DL38+DL39</f>
        <v>15.066459137887245</v>
      </c>
      <c r="DM37" s="79">
        <f>DM38+DM39</f>
        <v>15.401104405974046</v>
      </c>
      <c r="DN37" s="79">
        <f>DN38+DN39</f>
        <v>15.394955299065391</v>
      </c>
      <c r="DO37" s="79">
        <f>DO38+DO39</f>
        <v>1910</v>
      </c>
      <c r="DP37" s="79">
        <f>DP38+DP39</f>
        <v>70.29812292970189</v>
      </c>
      <c r="DQ37" s="79">
        <f>DQ38+DQ39</f>
        <v>3093.3</v>
      </c>
      <c r="DR37" s="79">
        <f>DR38+DR39</f>
        <v>3093.3</v>
      </c>
      <c r="DS37" s="79">
        <f>DS38+DS39</f>
        <v>3093.3</v>
      </c>
      <c r="DT37" s="79">
        <f>DT38+DT39</f>
        <v>4627</v>
      </c>
      <c r="DU37" s="79">
        <f>DU38+DU39</f>
        <v>4739.84</v>
      </c>
      <c r="DV37" s="79">
        <f>DV38+DV39</f>
        <v>4739.84</v>
      </c>
      <c r="DW37" s="79">
        <f>DW38+DW39</f>
        <v>4373.0600000000004</v>
      </c>
      <c r="DX37" s="79">
        <f>DX38+DX39</f>
        <v>4739.8</v>
      </c>
      <c r="DY37" s="79">
        <f>DY38+DY39</f>
        <v>6094</v>
      </c>
      <c r="DZ37" s="79">
        <f>DZ38+DZ39</f>
        <v>6094</v>
      </c>
      <c r="EA37" s="79">
        <f>EA38+EA39</f>
        <v>6094</v>
      </c>
      <c r="EB37" s="79">
        <f>EB38+EB39</f>
        <v>5405.7999999999993</v>
      </c>
      <c r="EC37" s="79">
        <f>EC38+EC39</f>
        <v>5405.8</v>
      </c>
      <c r="ED37" s="79">
        <f>ED38+ED39</f>
        <v>5405.8</v>
      </c>
      <c r="EE37" s="86">
        <f>EC37-EB37</f>
        <v>0</v>
      </c>
      <c r="EF37" s="86">
        <f>EC37/EB37*100</f>
        <v>100.00000000000003</v>
      </c>
      <c r="EG37" s="86">
        <f>EC37-ED37</f>
        <v>0</v>
      </c>
      <c r="EH37" s="86">
        <f>ED37/EC37*100</f>
        <v>100</v>
      </c>
      <c r="EI37" s="86">
        <f>ED37/DT37*100</f>
        <v>116.83164037173115</v>
      </c>
      <c r="EJ37" s="86">
        <f>ED37/EB37*100</f>
        <v>100.00000000000003</v>
      </c>
      <c r="EK37" s="86">
        <f>ED37/DS37*100</f>
        <v>174.75834868910226</v>
      </c>
      <c r="EL37" s="86">
        <f>EB37-DT37</f>
        <v>778.79999999999927</v>
      </c>
      <c r="EM37" s="86">
        <f>EB37/DT37*100</f>
        <v>116.83164037173113</v>
      </c>
      <c r="EN37" s="67"/>
    </row>
    <row r="38" spans="1:144" s="59" customFormat="1" ht="13.5" customHeight="1" x14ac:dyDescent="0.2">
      <c r="A38" s="132" t="s">
        <v>242</v>
      </c>
      <c r="B38" s="131" t="s">
        <v>238</v>
      </c>
      <c r="C38" s="130" t="s">
        <v>241</v>
      </c>
      <c r="D38" s="112">
        <f>11+84.87+13.984</f>
        <v>109.854</v>
      </c>
      <c r="E38" s="130" t="s">
        <v>240</v>
      </c>
      <c r="F38" s="95">
        <v>35.479999999999997</v>
      </c>
      <c r="G38" s="95">
        <f>F38-E38</f>
        <v>15.479999999999997</v>
      </c>
      <c r="H38" s="129">
        <f>F38/E38</f>
        <v>1.7739999999999998</v>
      </c>
      <c r="I38" s="95">
        <v>35.479999999999997</v>
      </c>
      <c r="J38" s="128">
        <f>I38-F38</f>
        <v>0</v>
      </c>
      <c r="K38" s="95">
        <f>14+10+11.48</f>
        <v>35.480000000000004</v>
      </c>
      <c r="L38" s="127">
        <f>K38/E38*100</f>
        <v>177.40000000000003</v>
      </c>
      <c r="M38" s="127">
        <f>K38/F38*100</f>
        <v>100.00000000000003</v>
      </c>
      <c r="N38" s="127">
        <f>K38/$K$42*100</f>
        <v>8.5718488115281405E-2</v>
      </c>
      <c r="O38" s="127">
        <f>K38-F38</f>
        <v>0</v>
      </c>
      <c r="P38" s="127">
        <f>K38/D38*100</f>
        <v>32.297412929888765</v>
      </c>
      <c r="Q38" s="126">
        <v>20</v>
      </c>
      <c r="R38" s="123">
        <v>20</v>
      </c>
      <c r="S38" s="121">
        <f>R38/Q38</f>
        <v>1</v>
      </c>
      <c r="T38" s="123">
        <v>19</v>
      </c>
      <c r="U38" s="121">
        <f>T38/R38</f>
        <v>0.95</v>
      </c>
      <c r="V38" s="95">
        <f>T38-R38</f>
        <v>-1</v>
      </c>
      <c r="W38" s="123">
        <v>19</v>
      </c>
      <c r="X38" s="123">
        <v>19</v>
      </c>
      <c r="Y38" s="125">
        <f>T38/$T$42</f>
        <v>6.2835466983269237E-4</v>
      </c>
      <c r="Z38" s="125">
        <f>W38/$W$42</f>
        <v>7.3142469982715277E-4</v>
      </c>
      <c r="AA38" s="125">
        <f>X38/$X$42</f>
        <v>6.9488382639607644E-4</v>
      </c>
      <c r="AB38" s="124">
        <f>U38-100%</f>
        <v>-5.0000000000000044E-2</v>
      </c>
      <c r="AC38" s="123">
        <v>20</v>
      </c>
      <c r="AD38" s="123">
        <v>20</v>
      </c>
      <c r="AE38" s="122">
        <v>20</v>
      </c>
      <c r="AF38" s="122">
        <v>20</v>
      </c>
      <c r="AG38" s="121">
        <f>AF38/AE38</f>
        <v>1</v>
      </c>
      <c r="AH38" s="95">
        <f>AE38-AF38</f>
        <v>0</v>
      </c>
      <c r="AI38" s="121">
        <f>AF38/AC38</f>
        <v>1</v>
      </c>
      <c r="AJ38" s="121">
        <f>AF38/AD38</f>
        <v>1</v>
      </c>
      <c r="AK38" s="121">
        <f>AE38/AC38</f>
        <v>1</v>
      </c>
      <c r="AL38" s="121">
        <f>AF38/$AF$42</f>
        <v>4.9216747455137341E-4</v>
      </c>
      <c r="AM38" s="95">
        <f>AD38-AC38</f>
        <v>0</v>
      </c>
      <c r="AN38" s="120">
        <f>AE38-AD38</f>
        <v>0</v>
      </c>
      <c r="AO38" s="119">
        <f>AE38/AD38</f>
        <v>1</v>
      </c>
      <c r="AP38" s="117">
        <v>19</v>
      </c>
      <c r="AQ38" s="117">
        <f>54+1580</f>
        <v>1634</v>
      </c>
      <c r="AR38" s="117"/>
      <c r="AS38" s="117">
        <v>2216.3000000000002</v>
      </c>
      <c r="AT38" s="117">
        <v>2789</v>
      </c>
      <c r="AU38" s="94">
        <f>AT38-AP38</f>
        <v>2770</v>
      </c>
      <c r="AV38" s="94">
        <f>AT38/AP38*100</f>
        <v>14678.947368421052</v>
      </c>
      <c r="AW38" s="95">
        <v>2789</v>
      </c>
      <c r="AX38" s="94">
        <f>AW38-AT38</f>
        <v>0</v>
      </c>
      <c r="AY38" s="95">
        <v>2789</v>
      </c>
      <c r="AZ38" s="94">
        <f>AT38-AY38</f>
        <v>0</v>
      </c>
      <c r="BA38" s="94">
        <f>AY38/AT38*100</f>
        <v>100</v>
      </c>
      <c r="BB38" s="94">
        <f>AY38/AW38*100</f>
        <v>100</v>
      </c>
      <c r="BC38" s="94">
        <f>AY38/AP38*100</f>
        <v>14678.947368421052</v>
      </c>
      <c r="BD38" s="97">
        <f>AY38/AF38*100</f>
        <v>13944.999999999998</v>
      </c>
      <c r="BE38" s="117">
        <v>2959</v>
      </c>
      <c r="BF38" s="95">
        <f>BE38/AP38*100</f>
        <v>15573.684210526315</v>
      </c>
      <c r="BG38" s="95">
        <f>BE38-AT38</f>
        <v>170</v>
      </c>
      <c r="BH38" s="117">
        <v>2905</v>
      </c>
      <c r="BI38" s="117">
        <v>2959</v>
      </c>
      <c r="BJ38" s="118">
        <f>BE38/$BE$42*100</f>
        <v>11.150721273420661</v>
      </c>
      <c r="BK38" s="118">
        <f>BH38/$BH$42*100</f>
        <v>11.502126210593836</v>
      </c>
      <c r="BL38" s="118">
        <f>BI38/$BI$42*100</f>
        <v>10.772809850258309</v>
      </c>
      <c r="BM38" s="95">
        <v>2959</v>
      </c>
      <c r="BN38" s="95">
        <v>2969</v>
      </c>
      <c r="BO38" s="95">
        <v>2438.6999999999998</v>
      </c>
      <c r="BP38" s="95">
        <v>2969</v>
      </c>
      <c r="BQ38" s="95">
        <f>29+35+3148.5</f>
        <v>3212.5</v>
      </c>
      <c r="BR38" s="95">
        <v>3212.5</v>
      </c>
      <c r="BS38" s="95">
        <v>3212.5</v>
      </c>
      <c r="BT38" s="95">
        <v>3213.5</v>
      </c>
      <c r="BU38" s="95">
        <v>3214.5</v>
      </c>
      <c r="BV38" s="95">
        <v>3215.5</v>
      </c>
      <c r="BW38" s="95">
        <v>3216.5</v>
      </c>
      <c r="BX38" s="95">
        <v>3217.5</v>
      </c>
      <c r="BY38" s="95">
        <v>3218.5</v>
      </c>
      <c r="BZ38" s="95">
        <v>3219.5</v>
      </c>
      <c r="CA38" s="95">
        <v>3220.5</v>
      </c>
      <c r="CB38" s="95">
        <v>3221.5</v>
      </c>
      <c r="CC38" s="95">
        <v>3222.5</v>
      </c>
      <c r="CD38" s="95">
        <v>3223.5</v>
      </c>
      <c r="CE38" s="95">
        <v>3224.5</v>
      </c>
      <c r="CF38" s="95">
        <v>3225.5</v>
      </c>
      <c r="CG38" s="95">
        <v>3226.5</v>
      </c>
      <c r="CH38" s="95">
        <v>3227.5</v>
      </c>
      <c r="CI38" s="95">
        <v>3228.5</v>
      </c>
      <c r="CJ38" s="95">
        <v>3229.5</v>
      </c>
      <c r="CK38" s="95">
        <v>3230.5</v>
      </c>
      <c r="CL38" s="95">
        <v>3231.5</v>
      </c>
      <c r="CM38" s="95">
        <v>2983</v>
      </c>
      <c r="CN38" s="95">
        <v>3457.53</v>
      </c>
      <c r="CO38" s="95">
        <v>3167.2</v>
      </c>
      <c r="CP38" s="95">
        <v>3457.5</v>
      </c>
      <c r="CQ38" s="95">
        <v>3559.46</v>
      </c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>
        <v>3559.5</v>
      </c>
      <c r="DD38" s="95">
        <v>3559.5</v>
      </c>
      <c r="DE38" s="95">
        <v>2717</v>
      </c>
      <c r="DF38" s="95">
        <v>2717</v>
      </c>
      <c r="DG38" s="95">
        <v>2717</v>
      </c>
      <c r="DH38" s="95">
        <v>4627</v>
      </c>
      <c r="DI38" s="95">
        <v>4627</v>
      </c>
      <c r="DJ38" s="95">
        <v>4627</v>
      </c>
      <c r="DK38" s="95">
        <f>DG38/$DG$42*100</f>
        <v>6.4438093656986313</v>
      </c>
      <c r="DL38" s="95">
        <f>DH38/$DH$42*100</f>
        <v>15.066459137887245</v>
      </c>
      <c r="DM38" s="95">
        <f>DI38/$DI$42*100</f>
        <v>15.401104405974046</v>
      </c>
      <c r="DN38" s="95">
        <f>DJ38/$DJ$42*100</f>
        <v>15.394955299065391</v>
      </c>
      <c r="DO38" s="95">
        <f>DH38-DG38</f>
        <v>1910</v>
      </c>
      <c r="DP38" s="95">
        <f>DH38/DG38*100-100</f>
        <v>70.29812292970189</v>
      </c>
      <c r="DQ38" s="95">
        <v>3093.3</v>
      </c>
      <c r="DR38" s="95">
        <v>3093.3</v>
      </c>
      <c r="DS38" s="95">
        <v>3093.3</v>
      </c>
      <c r="DT38" s="95">
        <v>4627</v>
      </c>
      <c r="DU38" s="95">
        <v>4739.84</v>
      </c>
      <c r="DV38" s="95">
        <v>4739.84</v>
      </c>
      <c r="DW38" s="95">
        <v>4373.0600000000004</v>
      </c>
      <c r="DX38" s="95">
        <v>4739.8</v>
      </c>
      <c r="DY38" s="95">
        <v>6094</v>
      </c>
      <c r="DZ38" s="95">
        <v>6094</v>
      </c>
      <c r="EA38" s="95">
        <v>6094</v>
      </c>
      <c r="EB38" s="117">
        <f>5405.9-0.1</f>
        <v>5405.7999999999993</v>
      </c>
      <c r="EC38" s="117">
        <v>5405.8</v>
      </c>
      <c r="ED38" s="117">
        <v>5405.8</v>
      </c>
      <c r="EE38" s="92">
        <f>EC38-EB38</f>
        <v>0</v>
      </c>
      <c r="EF38" s="92">
        <f>EC38/EB38*100</f>
        <v>100.00000000000003</v>
      </c>
      <c r="EG38" s="92">
        <f>EC38-ED38</f>
        <v>0</v>
      </c>
      <c r="EH38" s="92">
        <f>ED38/EC38*100</f>
        <v>100</v>
      </c>
      <c r="EI38" s="92">
        <f>ED38/DT38*100</f>
        <v>116.83164037173115</v>
      </c>
      <c r="EJ38" s="92">
        <f>ED38/EB38*100</f>
        <v>100.00000000000003</v>
      </c>
      <c r="EK38" s="92">
        <f>ED38/DS38*100</f>
        <v>174.75834868910226</v>
      </c>
      <c r="EL38" s="92">
        <f>EB38-DT38</f>
        <v>778.79999999999927</v>
      </c>
      <c r="EM38" s="92">
        <f>EB38/DT38*100</f>
        <v>116.83164037173113</v>
      </c>
      <c r="EN38" s="67"/>
    </row>
    <row r="39" spans="1:144" ht="12" hidden="1" customHeight="1" x14ac:dyDescent="0.2">
      <c r="A39" s="116" t="s">
        <v>239</v>
      </c>
      <c r="B39" s="115" t="s">
        <v>238</v>
      </c>
      <c r="C39" s="107" t="s">
        <v>237</v>
      </c>
      <c r="D39" s="108"/>
      <c r="E39" s="107"/>
      <c r="F39" s="94">
        <v>35</v>
      </c>
      <c r="G39" s="94">
        <f>F39-E39</f>
        <v>35</v>
      </c>
      <c r="H39" s="106">
        <v>0</v>
      </c>
      <c r="I39" s="94">
        <v>35</v>
      </c>
      <c r="J39" s="83">
        <f>I39-F39</f>
        <v>0</v>
      </c>
      <c r="K39" s="94">
        <v>35</v>
      </c>
      <c r="L39" s="105" t="e">
        <f>K39/E39*100</f>
        <v>#DIV/0!</v>
      </c>
      <c r="M39" s="105">
        <f>K39/F39*100</f>
        <v>100</v>
      </c>
      <c r="N39" s="105">
        <f>K39/$K$42*100</f>
        <v>8.4558824239990116E-2</v>
      </c>
      <c r="O39" s="105">
        <f>K39-F39</f>
        <v>0</v>
      </c>
      <c r="P39" s="105">
        <v>100</v>
      </c>
      <c r="Q39" s="114">
        <v>35</v>
      </c>
      <c r="R39" s="102">
        <v>35</v>
      </c>
      <c r="S39" s="100">
        <f>R39/Q39</f>
        <v>1</v>
      </c>
      <c r="T39" s="102">
        <v>35</v>
      </c>
      <c r="U39" s="100">
        <f>T39/R39</f>
        <v>1</v>
      </c>
      <c r="V39" s="94">
        <f>T39-R39</f>
        <v>0</v>
      </c>
      <c r="W39" s="102">
        <v>35</v>
      </c>
      <c r="X39" s="102">
        <v>35</v>
      </c>
      <c r="Y39" s="104">
        <f>T39/$T$42</f>
        <v>1.1574954444286438E-3</v>
      </c>
      <c r="Z39" s="104">
        <f>W39/$W$42</f>
        <v>1.3473612891552814E-3</v>
      </c>
      <c r="AA39" s="104">
        <f>X39/$X$42</f>
        <v>1.2800491538875092E-3</v>
      </c>
      <c r="AB39" s="103">
        <f>U39-100%</f>
        <v>0</v>
      </c>
      <c r="AC39" s="102">
        <v>0</v>
      </c>
      <c r="AD39" s="102">
        <v>35</v>
      </c>
      <c r="AE39" s="101">
        <v>35</v>
      </c>
      <c r="AF39" s="101">
        <v>35</v>
      </c>
      <c r="AG39" s="100">
        <f>AF39/AE39</f>
        <v>1</v>
      </c>
      <c r="AH39" s="94">
        <f>AE39-AF39</f>
        <v>0</v>
      </c>
      <c r="AI39" s="100">
        <v>0</v>
      </c>
      <c r="AJ39" s="100">
        <f>AF39/AD39</f>
        <v>1</v>
      </c>
      <c r="AK39" s="100">
        <v>0</v>
      </c>
      <c r="AL39" s="100">
        <f>AF39/$AF$42</f>
        <v>8.6129308046490347E-4</v>
      </c>
      <c r="AM39" s="94">
        <f>AD39-AC39</f>
        <v>35</v>
      </c>
      <c r="AN39" s="99">
        <f>AE39-AD39</f>
        <v>0</v>
      </c>
      <c r="AO39" s="98">
        <f>AE39/AD39</f>
        <v>1</v>
      </c>
      <c r="AP39" s="93">
        <v>35</v>
      </c>
      <c r="AQ39" s="93"/>
      <c r="AR39" s="93"/>
      <c r="AS39" s="93"/>
      <c r="AT39" s="93"/>
      <c r="AU39" s="94">
        <f>AT39-AP39</f>
        <v>-35</v>
      </c>
      <c r="AV39" s="94">
        <f>AT39/AP39*100</f>
        <v>0</v>
      </c>
      <c r="AW39" s="94"/>
      <c r="AX39" s="94">
        <f>AW39-AT39</f>
        <v>0</v>
      </c>
      <c r="AY39" s="94"/>
      <c r="AZ39" s="94">
        <f>AT39-AY39</f>
        <v>0</v>
      </c>
      <c r="BA39" s="94">
        <v>0</v>
      </c>
      <c r="BB39" s="94">
        <v>0</v>
      </c>
      <c r="BC39" s="94">
        <f>AY39/AP39*100</f>
        <v>0</v>
      </c>
      <c r="BD39" s="97">
        <f>AY39/AF39*100</f>
        <v>0</v>
      </c>
      <c r="BE39" s="93"/>
      <c r="BF39" s="94">
        <f>BE39/AP39*100</f>
        <v>0</v>
      </c>
      <c r="BG39" s="94">
        <f>BE39-AT39</f>
        <v>0</v>
      </c>
      <c r="BH39" s="93"/>
      <c r="BI39" s="93"/>
      <c r="BJ39" s="96">
        <f>BE39/$BE$42*100</f>
        <v>0</v>
      </c>
      <c r="BK39" s="96">
        <f>BH39/$BH$42*100</f>
        <v>0</v>
      </c>
      <c r="BL39" s="96">
        <f>BI39/$BI$42*100</f>
        <v>0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5"/>
      <c r="CN39" s="95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>
        <f>DG39/$DG$42*100</f>
        <v>0</v>
      </c>
      <c r="DL39" s="94">
        <f>DH39/$DH$42*100</f>
        <v>0</v>
      </c>
      <c r="DM39" s="94">
        <f>DI39/$DI$42*100</f>
        <v>0</v>
      </c>
      <c r="DN39" s="94">
        <f>DJ39/$DJ$42*100</f>
        <v>0</v>
      </c>
      <c r="DO39" s="94">
        <f>DH39-DG39</f>
        <v>0</v>
      </c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3"/>
      <c r="EC39" s="93"/>
      <c r="ED39" s="93"/>
      <c r="EE39" s="92">
        <f>EC39-EB39</f>
        <v>0</v>
      </c>
      <c r="EF39" s="92" t="e">
        <f>EC39/EB39*100</f>
        <v>#DIV/0!</v>
      </c>
      <c r="EG39" s="92">
        <f>EC39-ED39</f>
        <v>0</v>
      </c>
      <c r="EH39" s="92" t="e">
        <f>ED39/EC39*100</f>
        <v>#DIV/0!</v>
      </c>
      <c r="EI39" s="92" t="e">
        <f>ED39/DT39*100</f>
        <v>#DIV/0!</v>
      </c>
      <c r="EJ39" s="92" t="e">
        <f>ED39/EB39*100</f>
        <v>#DIV/0!</v>
      </c>
      <c r="EK39" s="92" t="e">
        <f>ED39/DS39*100</f>
        <v>#DIV/0!</v>
      </c>
      <c r="EL39" s="92">
        <f>EB39-DT39</f>
        <v>0</v>
      </c>
      <c r="EM39" s="92" t="e">
        <f>EB39/DT39*100</f>
        <v>#DIV/0!</v>
      </c>
      <c r="EN39" s="67"/>
    </row>
    <row r="40" spans="1:144" ht="57.75" hidden="1" customHeight="1" x14ac:dyDescent="0.2">
      <c r="A40" s="113" t="s">
        <v>236</v>
      </c>
      <c r="B40" s="109">
        <v>14</v>
      </c>
      <c r="C40" s="107"/>
      <c r="D40" s="108">
        <f>D41</f>
        <v>4446.8</v>
      </c>
      <c r="E40" s="94" t="str">
        <f>E41</f>
        <v>1957,9</v>
      </c>
      <c r="F40" s="94">
        <f>F41</f>
        <v>5906.46</v>
      </c>
      <c r="G40" s="94">
        <f>F40-E40</f>
        <v>3948.56</v>
      </c>
      <c r="H40" s="106">
        <v>1</v>
      </c>
      <c r="I40" s="94">
        <f>I41</f>
        <v>5906.4629999999997</v>
      </c>
      <c r="J40" s="94">
        <f>I40-F40</f>
        <v>2.9999999997016857E-3</v>
      </c>
      <c r="K40" s="94">
        <f>K41</f>
        <v>5906.4629999999997</v>
      </c>
      <c r="L40" s="94">
        <f>L41</f>
        <v>301.67337453393941</v>
      </c>
      <c r="M40" s="94">
        <f>M41</f>
        <v>100.00005079184487</v>
      </c>
      <c r="N40" s="94">
        <f>N41</f>
        <v>14.26981619134299</v>
      </c>
      <c r="O40" s="94">
        <f>O41</f>
        <v>2.9999999997016857E-3</v>
      </c>
      <c r="P40" s="94">
        <f>P41</f>
        <v>0</v>
      </c>
      <c r="Q40" s="94">
        <f>Q41</f>
        <v>5990.9</v>
      </c>
      <c r="R40" s="94">
        <f>R41</f>
        <v>5990.9</v>
      </c>
      <c r="S40" s="94">
        <f>S41</f>
        <v>1</v>
      </c>
      <c r="T40" s="94">
        <f>T41</f>
        <v>5496.6</v>
      </c>
      <c r="U40" s="94">
        <f>U41</f>
        <v>0.91749152881870855</v>
      </c>
      <c r="V40" s="94">
        <f>V41</f>
        <v>-494.29999999999927</v>
      </c>
      <c r="W40" s="94">
        <f>W41</f>
        <v>0</v>
      </c>
      <c r="X40" s="94">
        <f>X41</f>
        <v>0</v>
      </c>
      <c r="Y40" s="94">
        <f>Y41</f>
        <v>0.18177969885275669</v>
      </c>
      <c r="Z40" s="94">
        <f>Z41</f>
        <v>0</v>
      </c>
      <c r="AA40" s="94">
        <f>AA41</f>
        <v>0</v>
      </c>
      <c r="AB40" s="94">
        <f>AB41</f>
        <v>-8.2508471181291454E-2</v>
      </c>
      <c r="AC40" s="94">
        <f>AC41</f>
        <v>5941.6</v>
      </c>
      <c r="AD40" s="94">
        <f>AD41</f>
        <v>5990.9</v>
      </c>
      <c r="AE40" s="94">
        <f>AE41</f>
        <v>5990.9219999999996</v>
      </c>
      <c r="AF40" s="111">
        <f>AF41</f>
        <v>5990.9219999999996</v>
      </c>
      <c r="AG40" s="111">
        <f>AG41</f>
        <v>1</v>
      </c>
      <c r="AH40" s="111">
        <f>AH41</f>
        <v>0</v>
      </c>
      <c r="AI40" s="111">
        <f>AI41</f>
        <v>1.0083011310084824</v>
      </c>
      <c r="AJ40" s="111">
        <f>AJ41</f>
        <v>1.0000036722362249</v>
      </c>
      <c r="AK40" s="111">
        <f>AK41</f>
        <v>1.0083011310084824</v>
      </c>
      <c r="AL40" s="111">
        <f>AL41</f>
        <v>0.14742684754871316</v>
      </c>
      <c r="AM40" s="111">
        <f>AM41</f>
        <v>49.299999999999272</v>
      </c>
      <c r="AN40" s="111">
        <f>AN41</f>
        <v>2.1999999999934516E-2</v>
      </c>
      <c r="AO40" s="111">
        <f>AO41</f>
        <v>1.0000036722362249</v>
      </c>
      <c r="AP40" s="111">
        <f>AP41</f>
        <v>5496.6</v>
      </c>
      <c r="AQ40" s="111">
        <f>AQ41</f>
        <v>2761.8</v>
      </c>
      <c r="AR40" s="111">
        <f>AR41</f>
        <v>0</v>
      </c>
      <c r="AS40" s="111">
        <f>AS41</f>
        <v>2761.8</v>
      </c>
      <c r="AT40" s="111">
        <f>AT41</f>
        <v>2761.8</v>
      </c>
      <c r="AU40" s="94">
        <f>AT40-AP40</f>
        <v>-2734.8</v>
      </c>
      <c r="AV40" s="94">
        <f>AT40/AP40*100</f>
        <v>50.245606374849906</v>
      </c>
      <c r="AW40" s="111">
        <f>AW41</f>
        <v>2761.8</v>
      </c>
      <c r="AX40" s="94">
        <f>AW40-AT40</f>
        <v>0</v>
      </c>
      <c r="AY40" s="111">
        <f>AY41</f>
        <v>2761.8</v>
      </c>
      <c r="AZ40" s="111">
        <f>AZ41</f>
        <v>0</v>
      </c>
      <c r="BA40" s="111">
        <f>BA41</f>
        <v>100</v>
      </c>
      <c r="BB40" s="111">
        <f>BB41</f>
        <v>100</v>
      </c>
      <c r="BC40" s="111">
        <f>BC41</f>
        <v>50.245606374849906</v>
      </c>
      <c r="BD40" s="111">
        <f>BD41</f>
        <v>46.099748920116141</v>
      </c>
      <c r="BE40" s="111">
        <f>BE41</f>
        <v>0</v>
      </c>
      <c r="BF40" s="111">
        <f>BF41</f>
        <v>0</v>
      </c>
      <c r="BG40" s="111">
        <f>BG41</f>
        <v>-2761.8</v>
      </c>
      <c r="BH40" s="111">
        <f>BH41</f>
        <v>0</v>
      </c>
      <c r="BI40" s="111">
        <f>BI41</f>
        <v>0</v>
      </c>
      <c r="BJ40" s="111">
        <f>BJ41</f>
        <v>0</v>
      </c>
      <c r="BK40" s="111">
        <f>BK41</f>
        <v>0</v>
      </c>
      <c r="BL40" s="111">
        <f>BL41</f>
        <v>0</v>
      </c>
      <c r="BM40" s="111">
        <f>BM41</f>
        <v>0</v>
      </c>
      <c r="BN40" s="111">
        <f>BN41</f>
        <v>0</v>
      </c>
      <c r="BO40" s="111">
        <f>BO41</f>
        <v>0</v>
      </c>
      <c r="BP40" s="111">
        <f>BP41</f>
        <v>0</v>
      </c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2"/>
      <c r="CN40" s="112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>
        <f>DG40/$DG$42*100</f>
        <v>0</v>
      </c>
      <c r="DL40" s="111">
        <f>DH40/$DH$42*100</f>
        <v>0</v>
      </c>
      <c r="DM40" s="111">
        <f>DI40/$DI$42*100</f>
        <v>0</v>
      </c>
      <c r="DN40" s="111">
        <f>DJ40/$DJ$42*100</f>
        <v>0</v>
      </c>
      <c r="DO40" s="111">
        <f>DH40-DG40</f>
        <v>0</v>
      </c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93"/>
      <c r="EC40" s="93"/>
      <c r="ED40" s="93"/>
      <c r="EE40" s="92">
        <f>EC40-EB40</f>
        <v>0</v>
      </c>
      <c r="EF40" s="92" t="e">
        <f>EC40/EB40*100</f>
        <v>#DIV/0!</v>
      </c>
      <c r="EG40" s="92">
        <f>EC40-ED40</f>
        <v>0</v>
      </c>
      <c r="EH40" s="92" t="e">
        <f>ED40/EC40*100</f>
        <v>#DIV/0!</v>
      </c>
      <c r="EI40" s="92" t="e">
        <f>ED40/DT40*100</f>
        <v>#DIV/0!</v>
      </c>
      <c r="EJ40" s="92" t="e">
        <f>ED40/EB40*100</f>
        <v>#DIV/0!</v>
      </c>
      <c r="EK40" s="92" t="e">
        <f>ED40/DS40*100</f>
        <v>#DIV/0!</v>
      </c>
      <c r="EL40" s="92">
        <f>EB40-DT40</f>
        <v>0</v>
      </c>
      <c r="EM40" s="92" t="e">
        <f>EB40/DT40*100</f>
        <v>#DIV/0!</v>
      </c>
      <c r="EN40" s="67"/>
    </row>
    <row r="41" spans="1:144" ht="2.25" hidden="1" customHeight="1" x14ac:dyDescent="0.2">
      <c r="A41" s="110" t="s">
        <v>235</v>
      </c>
      <c r="B41" s="109">
        <v>14</v>
      </c>
      <c r="C41" s="107" t="s">
        <v>234</v>
      </c>
      <c r="D41" s="108">
        <v>4446.8</v>
      </c>
      <c r="E41" s="107" t="s">
        <v>233</v>
      </c>
      <c r="F41" s="94">
        <v>5906.46</v>
      </c>
      <c r="G41" s="94">
        <f>F41-E41</f>
        <v>3948.56</v>
      </c>
      <c r="H41" s="106">
        <v>1</v>
      </c>
      <c r="I41" s="94">
        <v>5906.4629999999997</v>
      </c>
      <c r="J41" s="83">
        <f>I41-F41</f>
        <v>2.9999999997016857E-3</v>
      </c>
      <c r="K41" s="94">
        <v>5906.4629999999997</v>
      </c>
      <c r="L41" s="105">
        <f>K41/E41*100</f>
        <v>301.67337453393941</v>
      </c>
      <c r="M41" s="105">
        <f>K41/F41*100</f>
        <v>100.00005079184487</v>
      </c>
      <c r="N41" s="105">
        <f>K41/$K$42*100</f>
        <v>14.26981619134299</v>
      </c>
      <c r="O41" s="105">
        <f>K41-F41</f>
        <v>2.9999999997016857E-3</v>
      </c>
      <c r="P41" s="105">
        <v>0</v>
      </c>
      <c r="Q41" s="102">
        <v>5990.9</v>
      </c>
      <c r="R41" s="102">
        <v>5990.9</v>
      </c>
      <c r="S41" s="100">
        <f>R41/Q41</f>
        <v>1</v>
      </c>
      <c r="T41" s="102">
        <v>5496.6</v>
      </c>
      <c r="U41" s="100">
        <f>T41/R41</f>
        <v>0.91749152881870855</v>
      </c>
      <c r="V41" s="94">
        <f>T41-R41</f>
        <v>-494.29999999999927</v>
      </c>
      <c r="W41" s="102"/>
      <c r="X41" s="102"/>
      <c r="Y41" s="104">
        <f>T41/$T$42</f>
        <v>0.18177969885275669</v>
      </c>
      <c r="Z41" s="104">
        <f>W41/$W$42</f>
        <v>0</v>
      </c>
      <c r="AA41" s="104">
        <f>X41/$X$42</f>
        <v>0</v>
      </c>
      <c r="AB41" s="103">
        <f>U41-100%</f>
        <v>-8.2508471181291454E-2</v>
      </c>
      <c r="AC41" s="102">
        <v>5941.6</v>
      </c>
      <c r="AD41" s="102">
        <v>5990.9</v>
      </c>
      <c r="AE41" s="101">
        <v>5990.9219999999996</v>
      </c>
      <c r="AF41" s="101">
        <v>5990.9219999999996</v>
      </c>
      <c r="AG41" s="100">
        <f>AF41/AE41</f>
        <v>1</v>
      </c>
      <c r="AH41" s="94">
        <f>AE41-AF41</f>
        <v>0</v>
      </c>
      <c r="AI41" s="100">
        <f>AF41/AC41</f>
        <v>1.0083011310084824</v>
      </c>
      <c r="AJ41" s="100">
        <f>AF41/AD41</f>
        <v>1.0000036722362249</v>
      </c>
      <c r="AK41" s="100">
        <f>AE41/AC41</f>
        <v>1.0083011310084824</v>
      </c>
      <c r="AL41" s="100">
        <f>AF41/$AF$42</f>
        <v>0.14742684754871316</v>
      </c>
      <c r="AM41" s="94">
        <f>AD41-AC41</f>
        <v>49.299999999999272</v>
      </c>
      <c r="AN41" s="99">
        <f>AE41-AD41</f>
        <v>2.1999999999934516E-2</v>
      </c>
      <c r="AO41" s="98">
        <f>AE41/AD41</f>
        <v>1.0000036722362249</v>
      </c>
      <c r="AP41" s="93">
        <v>5496.6</v>
      </c>
      <c r="AQ41" s="93">
        <v>2761.8</v>
      </c>
      <c r="AR41" s="93"/>
      <c r="AS41" s="93">
        <v>2761.8</v>
      </c>
      <c r="AT41" s="93">
        <v>2761.8</v>
      </c>
      <c r="AU41" s="94">
        <f>AT41-AP41</f>
        <v>-2734.8</v>
      </c>
      <c r="AV41" s="94">
        <f>AT41/AP41*100</f>
        <v>50.245606374849906</v>
      </c>
      <c r="AW41" s="94">
        <v>2761.8</v>
      </c>
      <c r="AX41" s="94">
        <f>AW41-AT41</f>
        <v>0</v>
      </c>
      <c r="AY41" s="94">
        <v>2761.8</v>
      </c>
      <c r="AZ41" s="94">
        <f>AT41-AY41</f>
        <v>0</v>
      </c>
      <c r="BA41" s="94">
        <f>AY41/AT41*100</f>
        <v>100</v>
      </c>
      <c r="BB41" s="94">
        <f>AY41/AW41*100</f>
        <v>100</v>
      </c>
      <c r="BC41" s="94">
        <f>AY41/AP41*100</f>
        <v>50.245606374849906</v>
      </c>
      <c r="BD41" s="97">
        <f>AY41/AF41*100</f>
        <v>46.099748920116141</v>
      </c>
      <c r="BE41" s="93"/>
      <c r="BF41" s="94">
        <f>BE41/AP41*100</f>
        <v>0</v>
      </c>
      <c r="BG41" s="94">
        <f>BE41-AT41</f>
        <v>-2761.8</v>
      </c>
      <c r="BH41" s="93"/>
      <c r="BI41" s="93"/>
      <c r="BJ41" s="96">
        <f>BE41/$BE$42*100</f>
        <v>0</v>
      </c>
      <c r="BK41" s="96">
        <f>BH41/$BH$42*100</f>
        <v>0</v>
      </c>
      <c r="BL41" s="96">
        <f>BI41/$BI$42*100</f>
        <v>0</v>
      </c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5"/>
      <c r="CN41" s="95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>
        <f>DG41/$DG$42*100</f>
        <v>0</v>
      </c>
      <c r="DL41" s="94">
        <f>DH41/$DH$42*100</f>
        <v>0</v>
      </c>
      <c r="DM41" s="94">
        <f>DI41/$DI$42*100</f>
        <v>0</v>
      </c>
      <c r="DN41" s="94">
        <f>DJ41/$DJ$42*100</f>
        <v>0</v>
      </c>
      <c r="DO41" s="94">
        <f>DH41-DG41</f>
        <v>0</v>
      </c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3"/>
      <c r="EC41" s="93"/>
      <c r="ED41" s="93"/>
      <c r="EE41" s="92">
        <f>EC41-EB41</f>
        <v>0</v>
      </c>
      <c r="EF41" s="92" t="e">
        <f>EC41/EB41*100</f>
        <v>#DIV/0!</v>
      </c>
      <c r="EG41" s="92">
        <f>EC41-ED41</f>
        <v>0</v>
      </c>
      <c r="EH41" s="92" t="e">
        <f>ED41/EC41*100</f>
        <v>#DIV/0!</v>
      </c>
      <c r="EI41" s="92" t="e">
        <f>ED41/DT41*100</f>
        <v>#DIV/0!</v>
      </c>
      <c r="EJ41" s="92" t="e">
        <f>ED41/EB41*100</f>
        <v>#DIV/0!</v>
      </c>
      <c r="EK41" s="92" t="e">
        <f>ED41/DS41*100</f>
        <v>#DIV/0!</v>
      </c>
      <c r="EL41" s="92">
        <f>EB41-DT41</f>
        <v>0</v>
      </c>
      <c r="EM41" s="92" t="e">
        <f>EB41/DT41*100</f>
        <v>#DIV/0!</v>
      </c>
      <c r="EN41" s="67"/>
    </row>
    <row r="42" spans="1:144" s="85" customFormat="1" ht="18" customHeight="1" x14ac:dyDescent="0.2">
      <c r="A42" s="91" t="s">
        <v>232</v>
      </c>
      <c r="B42" s="90"/>
      <c r="C42" s="89"/>
      <c r="D42" s="79">
        <f>D40+D37+D31+D29+D23+D17+D14+D12+D6+D35</f>
        <v>36058.113000000005</v>
      </c>
      <c r="E42" s="83">
        <f>E40+E37+E31+E29+E23+E17+E14+E12+E6+E35</f>
        <v>24179.5</v>
      </c>
      <c r="F42" s="83">
        <f>F40+F37+F31+F29+F23+F17+F14+F12+F6+F35</f>
        <v>43039.869999999995</v>
      </c>
      <c r="G42" s="83">
        <f>G40+G37+G31+G29+G23+G17+G14+G12+G6+G35</f>
        <v>18860.370000000003</v>
      </c>
      <c r="H42" s="88">
        <f>F42/E42</f>
        <v>1.78001488864534</v>
      </c>
      <c r="I42" s="83">
        <f>I40+I37+I31+I29+I23+I17+I14+I12+I6+I35</f>
        <v>43039.864999999998</v>
      </c>
      <c r="J42" s="83">
        <f>I42-F42</f>
        <v>-4.9999999973806553E-3</v>
      </c>
      <c r="K42" s="83">
        <f>K40+K37+K31+K29+K23+K17+K14+K12+K6+K35</f>
        <v>41391.304000000004</v>
      </c>
      <c r="L42" s="83" t="e">
        <f>L40+L37+L31+L29+L23+L17+L14+L12+L6+L35</f>
        <v>#DIV/0!</v>
      </c>
      <c r="M42" s="83" t="e">
        <f>M40+M37+M31+M29+M23+M17+M14+M12+M6+M35</f>
        <v>#DIV/0!</v>
      </c>
      <c r="N42" s="83">
        <f>N40+N37+N31+N29+N23+N17+N14+N12+N6+N35</f>
        <v>99.999999999999986</v>
      </c>
      <c r="O42" s="83">
        <f>O40+O37+O31+O29+O23+O17+O14+O12+O6+O35</f>
        <v>-1648.5660000000021</v>
      </c>
      <c r="P42" s="83">
        <f>P40+P37+P31+P29+P23+P17+P14+P12+P6+P35</f>
        <v>1924.2827348524256</v>
      </c>
      <c r="Q42" s="83">
        <f>Q40+Q37+Q31+Q29+Q23+Q17+Q14+Q12+Q6+Q35</f>
        <v>39738.5</v>
      </c>
      <c r="R42" s="83">
        <f>R40+R37+R31+R29+R23+R17+R14+R12+R6+R35</f>
        <v>39738.400000000001</v>
      </c>
      <c r="S42" s="83">
        <f>S40+S37+S31+S29+S23+S17+S14+S12+S6+S35</f>
        <v>20.999995857670079</v>
      </c>
      <c r="T42" s="83">
        <f>T40+T37+T31+T29+T23+T17+T14+T12+T6+T35</f>
        <v>30237.699999999997</v>
      </c>
      <c r="U42" s="83">
        <f>U40+U37+U31+U29+U23+U17+U14+U12+U6+U35</f>
        <v>16.04820680969182</v>
      </c>
      <c r="V42" s="83">
        <f>V40+V37+V31+V29+V23+V17+V14+V12+V6+V35</f>
        <v>-9500.7000000000007</v>
      </c>
      <c r="W42" s="83">
        <f>W40+W37+W31+W29+W23+W17+W14+W12+W6+W35</f>
        <v>25976.7</v>
      </c>
      <c r="X42" s="83">
        <f>X40+X37+X31+X29+X23+X17+X14+X12+X6+X35</f>
        <v>27342.7</v>
      </c>
      <c r="Y42" s="83">
        <f>Y40+Y37+Y31+Y29+Y23+Y17+Y14+Y12+Y6+Y35</f>
        <v>1.0000000000000002</v>
      </c>
      <c r="Z42" s="83">
        <f>Z40+Z37+Z31+Z29+Z23+Z17+Z14+Z12+Z6+Z35</f>
        <v>0.99999999999999989</v>
      </c>
      <c r="AA42" s="83">
        <f>AA40+AA37+AA31+AA29+AA23+AA17+AA14+AA12+AA6+AA35</f>
        <v>1</v>
      </c>
      <c r="AB42" s="83">
        <f>AB40+AB37+AB31+AB29+AB23+AB17+AB14+AB12+AB6+AB35</f>
        <v>-6.9517931903081829</v>
      </c>
      <c r="AC42" s="83">
        <f>AC40+AC37+AC31+AC29+AC23+AC17+AC14+AC12+AC6+AC35</f>
        <v>33709.199999999997</v>
      </c>
      <c r="AD42" s="83">
        <f>AD40+AD37+AD31+AD29+AD23+AD17+AD14+AD12+AD6+AD35</f>
        <v>41796.1</v>
      </c>
      <c r="AE42" s="79">
        <f>AE40+AE37+AE31+AE29+AE23+AE17+AE14+AE12+AE6+AE35</f>
        <v>41796.208999999995</v>
      </c>
      <c r="AF42" s="79">
        <f>AF40+AF37+AF31+AF29+AF23+AF17+AF14+AF12+AF6+AF35</f>
        <v>40636.573999999993</v>
      </c>
      <c r="AG42" s="79">
        <f>AG40+AG37+AG31+AG29+AG23+AG17+AG14+AG12+AG6+AG35</f>
        <v>20.805581380045684</v>
      </c>
      <c r="AH42" s="79">
        <f>AH40+AH37+AH31+AH29+AH23+AH17+AH14+AH12+AH6+AH35</f>
        <v>1159.6350000000011</v>
      </c>
      <c r="AI42" s="79">
        <f>AI40+AI37+AI31+AI29+AI23+AI17+AI14+AI12+AI6+AI35</f>
        <v>26.308394111464207</v>
      </c>
      <c r="AJ42" s="79">
        <f>AJ40+AJ37+AJ31+AJ29+AJ23+AJ17+AJ14+AJ12+AJ6+AJ35</f>
        <v>20.804542208725422</v>
      </c>
      <c r="AK42" s="79">
        <f>AK40+AK37+AK31+AK29+AK23+AK17+AK14+AK12+AK6+AK35</f>
        <v>26.54768652587758</v>
      </c>
      <c r="AL42" s="79">
        <f>AL40+AL37+AL31+AL29+AL23+AL17+AL14+AL12+AL6+AL35</f>
        <v>1.0000000000000002</v>
      </c>
      <c r="AM42" s="79">
        <f>AM40+AM37+AM31+AM29+AM23+AM17+AM14+AM12+AM6+AM35</f>
        <v>8086.8999999999987</v>
      </c>
      <c r="AN42" s="79">
        <f>AN40+AN37+AN31+AN29+AN23+AN17+AN14+AN12+AN6+AN35</f>
        <v>0.10900000000034993</v>
      </c>
      <c r="AO42" s="79" t="e">
        <f>AO40+AO37+AO31+AO29+AO23+AO17+AO14+AO12+AO6+AO35</f>
        <v>#DIV/0!</v>
      </c>
      <c r="AP42" s="79">
        <f>AP40+AP37+AP31+AP29+AP23+AP17+AP14+AP12+AP6+AP35</f>
        <v>30237.699999999997</v>
      </c>
      <c r="AQ42" s="79">
        <f>AQ40+AQ37+AQ31+AQ29+AQ23+AQ17+AQ14+AQ12+AQ6+AQ35</f>
        <v>35243.1</v>
      </c>
      <c r="AR42" s="79">
        <f>AR40+AR37+AR31+AR29+AR23+AR17+AR14+AR12+AR6+AR35</f>
        <v>0</v>
      </c>
      <c r="AS42" s="79">
        <f>AS40+AS37+AS31+AS29+AS23+AS17+AS14+AS12+AS6+AS35</f>
        <v>25641.4</v>
      </c>
      <c r="AT42" s="79">
        <f>AT40+AT37+AT31+AT29+AT23+AT17+AT14+AT12+AT6+AT35</f>
        <v>37943.800000000003</v>
      </c>
      <c r="AU42" s="83">
        <f>AT42-AP42</f>
        <v>7706.1000000000058</v>
      </c>
      <c r="AV42" s="83">
        <f>AT42/AP42*100</f>
        <v>125.48507326946165</v>
      </c>
      <c r="AW42" s="79">
        <f>AW40+AW37+AW31+AW29+AW23+AW17+AW14+AW12+AW6+AW35</f>
        <v>37943.699999999997</v>
      </c>
      <c r="AX42" s="83">
        <f>AW42-AT42</f>
        <v>-0.10000000000582077</v>
      </c>
      <c r="AY42" s="79">
        <f>AY40+AY37+AY31+AY29+AY23+AY17+AY14+AY12+AY6+AY35</f>
        <v>37547.600000000006</v>
      </c>
      <c r="AZ42" s="79">
        <f>AZ40+AZ37+AZ31+AZ29+AZ23+AZ17+AZ14+AZ12+AZ6+AZ35</f>
        <v>396.20000000000073</v>
      </c>
      <c r="BA42" s="79" t="e">
        <f>BA40+BA37+BA31+BA29+BA23+BA17+BA14+BA12+BA6+BA35</f>
        <v>#DIV/0!</v>
      </c>
      <c r="BB42" s="79" t="e">
        <f>BB40+BB37+BB31+BB29+BB23+BB17+BB14+BB12+BB6+BB35</f>
        <v>#DIV/0!</v>
      </c>
      <c r="BC42" s="79" t="e">
        <f>BC40+BC37+BC31+BC29+BC23+BC17+BC14+BC12+BC6+BC35</f>
        <v>#DIV/0!</v>
      </c>
      <c r="BD42" s="79" t="e">
        <f>BD40+BD37+BD31+BD29+BD23+BD17+BD14+BD12+BD6+BD35</f>
        <v>#DIV/0!</v>
      </c>
      <c r="BE42" s="79">
        <f>BE40+BE37+BE31+BE29+BE23+BE17+BE14+BE12+BE6+BE35</f>
        <v>26536.399999999998</v>
      </c>
      <c r="BF42" s="79" t="e">
        <f>BF40+BF37+BF31+BF29+BF23+BF17+BF14+BF12+BF6+BF35</f>
        <v>#DIV/0!</v>
      </c>
      <c r="BG42" s="79">
        <f>BG40+BG37+BG31+BG29+BG23+BG17+BG14+BG12+BG6+BG35</f>
        <v>-11407.400000000001</v>
      </c>
      <c r="BH42" s="79">
        <f>BH40+BH37+BH31+BH29+BH23+BH17+BH14+BH12+BH6+BH35</f>
        <v>25256.199999999997</v>
      </c>
      <c r="BI42" s="79">
        <f>BI40+BI37+BI31+BI29+BI23+BI17+BI14+BI12+BI6+BI35</f>
        <v>27467.3</v>
      </c>
      <c r="BJ42" s="79">
        <f>BJ40+BJ37+BJ31+BJ29+BJ23+BJ17+BJ14+BJ12+BJ6+BJ35</f>
        <v>100</v>
      </c>
      <c r="BK42" s="79">
        <f>BK40+BK37+BK31+BK29+BK23+BK17+BK14+BK12+BK6+BK35</f>
        <v>100.00000000000001</v>
      </c>
      <c r="BL42" s="79">
        <f>BL40+BL37+BL31+BL29+BL23+BL17+BL14+BL12+BL6+BL35</f>
        <v>100</v>
      </c>
      <c r="BM42" s="79">
        <f>BM40+BM37+BM31+BM29+BM23+BM17+BM14+BM12+BM6+BM35</f>
        <v>26536.399999999998</v>
      </c>
      <c r="BN42" s="79">
        <f>BN40+BN37+BN31+BN29+BN23+BN17+BN14+BN12+BN6+BN35</f>
        <v>33390.799999999996</v>
      </c>
      <c r="BO42" s="79">
        <f>BO40+BO37+BO31+BO29+BO23+BO17+BO14+BO12+BO6+BO35</f>
        <v>26292.9</v>
      </c>
      <c r="BP42" s="79">
        <f>BP40+BP37+BP31+BP29+BP23+BP17+BP14+BP12+BP6+BP35</f>
        <v>33390.799999999996</v>
      </c>
      <c r="BQ42" s="79">
        <f>BQ40+BQ37+BQ31+BQ29+BQ23+BQ17+BQ14+BQ12+BQ6+BQ35</f>
        <v>35856.600000000006</v>
      </c>
      <c r="BR42" s="79">
        <f>BR40+BR37+BR31+BR29+BR23+BR17+BR14+BR12+BR6+BR35</f>
        <v>35856.600000000006</v>
      </c>
      <c r="BS42" s="79">
        <f>BS40+BS37+BS31+BS29+BS23+BS17+BS14+BS12+BS6+BS35</f>
        <v>35202.300000000003</v>
      </c>
      <c r="BT42" s="79">
        <f>BT40+BT37+BT31+BT29+BT23+BT17+BT14+BT12+BT6+BT35</f>
        <v>35204.300000000003</v>
      </c>
      <c r="BU42" s="79">
        <f>BU40+BU37+BU31+BU29+BU23+BU17+BU14+BU12+BU6+BU35</f>
        <v>35206.300000000003</v>
      </c>
      <c r="BV42" s="79">
        <f>BV40+BV37+BV31+BV29+BV23+BV17+BV14+BV12+BV6+BV35</f>
        <v>35208.300000000003</v>
      </c>
      <c r="BW42" s="79">
        <f>BW40+BW37+BW31+BW29+BW23+BW17+BW14+BW12+BW6+BW35</f>
        <v>35210.300000000003</v>
      </c>
      <c r="BX42" s="79">
        <f>BX40+BX37+BX31+BX29+BX23+BX17+BX14+BX12+BX6+BX35</f>
        <v>35212.300000000003</v>
      </c>
      <c r="BY42" s="79">
        <f>BY40+BY37+BY31+BY29+BY23+BY17+BY14+BY12+BY6+BY35</f>
        <v>35214.300000000003</v>
      </c>
      <c r="BZ42" s="79">
        <f>BZ40+BZ37+BZ31+BZ29+BZ23+BZ17+BZ14+BZ12+BZ6+BZ35</f>
        <v>35216.300000000003</v>
      </c>
      <c r="CA42" s="79">
        <f>CA40+CA37+CA31+CA29+CA23+CA17+CA14+CA12+CA6+CA35</f>
        <v>35218.300000000003</v>
      </c>
      <c r="CB42" s="79">
        <f>CB40+CB37+CB31+CB29+CB23+CB17+CB14+CB12+CB6+CB35</f>
        <v>35220.300000000003</v>
      </c>
      <c r="CC42" s="79">
        <f>CC40+CC37+CC31+CC29+CC23+CC17+CC14+CC12+CC6+CC35</f>
        <v>35222.300000000003</v>
      </c>
      <c r="CD42" s="79">
        <f>CD40+CD37+CD31+CD29+CD23+CD17+CD14+CD12+CD6+CD35</f>
        <v>35224.300000000003</v>
      </c>
      <c r="CE42" s="79">
        <f>CE40+CE37+CE31+CE29+CE23+CE17+CE14+CE12+CE6+CE35</f>
        <v>35226.300000000003</v>
      </c>
      <c r="CF42" s="79">
        <f>CF40+CF37+CF31+CF29+CF23+CF17+CF14+CF12+CF6+CF35</f>
        <v>35228.300000000003</v>
      </c>
      <c r="CG42" s="79">
        <f>CG40+CG37+CG31+CG29+CG23+CG17+CG14+CG12+CG6+CG35</f>
        <v>35230.300000000003</v>
      </c>
      <c r="CH42" s="79">
        <f>CH40+CH37+CH31+CH29+CH23+CH17+CH14+CH12+CH6+CH35</f>
        <v>35232.300000000003</v>
      </c>
      <c r="CI42" s="79">
        <f>CI40+CI37+CI31+CI29+CI23+CI17+CI14+CI12+CI6+CI35</f>
        <v>35234.300000000003</v>
      </c>
      <c r="CJ42" s="79">
        <f>CJ40+CJ37+CJ31+CJ29+CJ23+CJ17+CJ14+CJ12+CJ6+CJ35</f>
        <v>35236.300000000003</v>
      </c>
      <c r="CK42" s="79">
        <f>CK40+CK37+CK31+CK29+CK23+CK17+CK14+CK12+CK6+CK35</f>
        <v>35238.300000000003</v>
      </c>
      <c r="CL42" s="79">
        <f>CL40+CL37+CL31+CL29+CL23+CL17+CL14+CL12+CL6+CL35</f>
        <v>35240.300000000003</v>
      </c>
      <c r="CM42" s="87">
        <f>CM40+CM37+CM31+CM29+CM23+CM17+CM14+CM12+CM6+CM35</f>
        <v>27315.3</v>
      </c>
      <c r="CN42" s="87">
        <f>CN40+CN37+CN31+CN29+CN23+CN17+CN14+CN12+CN6+CN35</f>
        <v>34203.21</v>
      </c>
      <c r="CO42" s="79">
        <f>CO40+CO37+CO31+CO29+CO23+CO17+CO14+CO12+CO6+CO35</f>
        <v>26883.9</v>
      </c>
      <c r="CP42" s="79">
        <f>CP40+CP37+CP31+CP29+CP23+CP17+CP14+CP12+CP6+CP35</f>
        <v>34203.199999999997</v>
      </c>
      <c r="CQ42" s="79">
        <f>CQ40+CQ37+CQ31+CQ29+CQ23+CQ17+CQ14+CQ12+CQ6+CQ35</f>
        <v>35385.65</v>
      </c>
      <c r="CR42" s="79">
        <f>CR40+CR37+CR31+CR29+CR23+CR17+CR14+CR12+CR6+CR35</f>
        <v>0</v>
      </c>
      <c r="CS42" s="79">
        <f>CS40+CS37+CS31+CS29+CS23+CS17+CS14+CS12+CS6+CS35</f>
        <v>0</v>
      </c>
      <c r="CT42" s="79">
        <f>CT40+CT37+CT31+CT29+CT23+CT17+CT14+CT12+CT6+CT35</f>
        <v>0</v>
      </c>
      <c r="CU42" s="79">
        <f>CU40+CU37+CU31+CU29+CU23+CU17+CU14+CU12+CU6+CU35</f>
        <v>0</v>
      </c>
      <c r="CV42" s="79">
        <f>CV40+CV37+CV31+CV29+CV23+CV17+CV14+CV12+CV6+CV35</f>
        <v>0</v>
      </c>
      <c r="CW42" s="79">
        <f>CW40+CW37+CW31+CW29+CW23+CW17+CW14+CW12+CW6+CW35</f>
        <v>0</v>
      </c>
      <c r="CX42" s="79">
        <f>CX40+CX37+CX31+CX29+CX23+CX17+CX14+CX12+CX6+CX35</f>
        <v>0</v>
      </c>
      <c r="CY42" s="79">
        <f>CY40+CY37+CY31+CY29+CY23+CY17+CY14+CY12+CY6+CY35</f>
        <v>0</v>
      </c>
      <c r="CZ42" s="79">
        <f>CZ40+CZ37+CZ31+CZ29+CZ23+CZ17+CZ14+CZ12+CZ6+CZ35</f>
        <v>0</v>
      </c>
      <c r="DA42" s="79">
        <f>DA40+DA37+DA31+DA29+DA23+DA17+DA14+DA12+DA6+DA35</f>
        <v>0</v>
      </c>
      <c r="DB42" s="79">
        <f>DB40+DB37+DB31+DB29+DB23+DB17+DB14+DB12+DB6+DB35</f>
        <v>0</v>
      </c>
      <c r="DC42" s="79">
        <f>DC40+DC37+DC31+DC29+DC23+DC17+DC14+DC12+DC6+DC35-0.3</f>
        <v>35396.299999999996</v>
      </c>
      <c r="DD42" s="79">
        <f>DD40+DD37+DD31+DD29+DD23+DD17+DD14+DD12+DD6+DD35-0.2</f>
        <v>34812.5</v>
      </c>
      <c r="DE42" s="79">
        <f>DE40+DE37+DE31+DE29+DE23+DE17+DE14+DE12+DE6+DE35</f>
        <v>28719.399999999998</v>
      </c>
      <c r="DF42" s="79">
        <f>DF40+DF37+DF31+DF29+DF23+DF17+DF14+DF12+DF6+DF35</f>
        <v>42164.479999999996</v>
      </c>
      <c r="DG42" s="79">
        <f>DG40+DG37+DG31+DG29+DG23+DG17+DG14+DG12+DG6+DG35-0.1</f>
        <v>42164.500000000007</v>
      </c>
      <c r="DH42" s="79">
        <f>DH40+DH37+DH31+DH29+DH23+DH17+DH14+DH12+DH6+DH35</f>
        <v>30710.6</v>
      </c>
      <c r="DI42" s="79">
        <f>DI40+DI37+DI31+DI29+DI23+DI17+DI14+DI12+DI6+DI35</f>
        <v>30043.3</v>
      </c>
      <c r="DJ42" s="79">
        <f>DJ40+DJ37+DJ31+DJ29+DJ23+DJ17+DJ14+DJ12+DJ6+DJ35</f>
        <v>30055.3</v>
      </c>
      <c r="DK42" s="79">
        <f>DG42/$DG$42*100</f>
        <v>100</v>
      </c>
      <c r="DL42" s="79">
        <f>DH42/$DH$42*100</f>
        <v>100</v>
      </c>
      <c r="DM42" s="79">
        <f>DI42/$DI$42*100</f>
        <v>100</v>
      </c>
      <c r="DN42" s="79">
        <f>DJ42/$DJ$42*100</f>
        <v>100</v>
      </c>
      <c r="DO42" s="79">
        <f>DH42-DG42</f>
        <v>-11453.900000000009</v>
      </c>
      <c r="DP42" s="79">
        <f>DH42/DG42*100-100</f>
        <v>-27.164795028993609</v>
      </c>
      <c r="DQ42" s="79">
        <f>DQ40+DQ37+DQ31+DQ29+DQ23+DQ17+DQ14+DQ12+DQ6+DQ35</f>
        <v>45098.55</v>
      </c>
      <c r="DR42" s="79">
        <f>DR40+DR37+DR31+DR29+DR23+DR17+DR14+DR12+DR6+DR35-0.1</f>
        <v>45098.6</v>
      </c>
      <c r="DS42" s="79">
        <f>DS40+DS37+DS31+DS29+DS23+DS17+DS14+DS12+DS6+DS35-0.1</f>
        <v>45015.900000000009</v>
      </c>
      <c r="DT42" s="79">
        <f>DT40+DT37+DT31+DT29+DT23+DT17+DT14+DT12+DT6+DT35</f>
        <v>30710.6</v>
      </c>
      <c r="DU42" s="79">
        <f>DU40+DU37+DU31+DU29+DU23+DU17+DU14+DU12+DU6+DU35</f>
        <v>42477.840000000004</v>
      </c>
      <c r="DV42" s="79">
        <f>DV40+DV37+DV31+DV29+DV23+DV17+DV14+DV12+DV6+DV35</f>
        <v>42438.54</v>
      </c>
      <c r="DW42" s="79">
        <f>DW40+DW37+DW31+DW29+DW23+DW17+DW14+DW12+DW6+DW35</f>
        <v>31388.15</v>
      </c>
      <c r="DX42" s="79">
        <f>DX40+DX37+DX31+DX29+DX23+DX17+DX14+DX12+DX6+DX35+DX27</f>
        <v>42479.3</v>
      </c>
      <c r="DY42" s="79">
        <f>DY40+DY37+DY31+DY29+DY23+DY17+DY14+DY12+DY6+DY35+DY27</f>
        <v>34060.6</v>
      </c>
      <c r="DZ42" s="79">
        <f>DZ40+DZ37+DZ31+DZ29+DZ23+DZ17+DZ14+DZ12+DZ6+DZ35+DZ27</f>
        <v>31917.1</v>
      </c>
      <c r="EA42" s="79">
        <f>EA40+EA37+EA31+EA29+EA23+EA17+EA14+EA12+EA6+EA35+EA27</f>
        <v>31565.100000000002</v>
      </c>
      <c r="EB42" s="79">
        <f>EB40+EB37+EB31+EB29+EB23+EB17+EB14+EB12+EB6+EB35+EB27</f>
        <v>42328.600000000006</v>
      </c>
      <c r="EC42" s="79">
        <f>EC40+EC37+EC31+EC29+EC23+EC17+EC14+EC12+EC6+EC35+EC27</f>
        <v>42328.600000000006</v>
      </c>
      <c r="ED42" s="79">
        <f>ED40+ED37+ED31+ED29+ED23+ED17+ED14+ED12+ED6+ED35+ED27-0.1</f>
        <v>41827.000000000007</v>
      </c>
      <c r="EE42" s="86">
        <f>EC42-EB42</f>
        <v>0</v>
      </c>
      <c r="EF42" s="86">
        <f>EC42/EB42*100</f>
        <v>100</v>
      </c>
      <c r="EG42" s="86">
        <f>EC42-ED42-0.1</f>
        <v>501.49999999999852</v>
      </c>
      <c r="EH42" s="86">
        <f>ED42/EC42*100</f>
        <v>98.814985612564556</v>
      </c>
      <c r="EI42" s="86">
        <f>ED42/DT42*100</f>
        <v>136.19727390542681</v>
      </c>
      <c r="EJ42" s="86">
        <f>ED42/EB42*100</f>
        <v>98.814985612564556</v>
      </c>
      <c r="EK42" s="86">
        <f>ED42/DS42*100</f>
        <v>92.916058548201846</v>
      </c>
      <c r="EL42" s="86">
        <f>EB42-DT42</f>
        <v>11618.000000000007</v>
      </c>
      <c r="EM42" s="86">
        <f>EB42/DT42*100</f>
        <v>137.83058618196978</v>
      </c>
      <c r="EN42" s="67"/>
    </row>
    <row r="43" spans="1:144" hidden="1" x14ac:dyDescent="0.2">
      <c r="K43" s="84"/>
      <c r="O43" s="77"/>
      <c r="AF43" s="74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2"/>
      <c r="CM43" s="81"/>
      <c r="CN43" s="80"/>
      <c r="CO43" s="80"/>
      <c r="DO43" s="69">
        <f>DH43-DG43</f>
        <v>0</v>
      </c>
      <c r="DP43" s="79"/>
      <c r="DT43" s="78"/>
      <c r="DU43" s="78"/>
      <c r="DV43" s="78"/>
      <c r="DW43" s="78"/>
      <c r="DX43" s="78"/>
      <c r="DY43" s="78"/>
      <c r="DZ43" s="78"/>
      <c r="EA43" s="78"/>
      <c r="EN43" s="67"/>
    </row>
    <row r="44" spans="1:144" hidden="1" x14ac:dyDescent="0.2">
      <c r="AC44" s="77"/>
      <c r="AD44" s="77"/>
      <c r="AE44" s="77"/>
      <c r="AF44" s="77"/>
      <c r="DO44" s="69">
        <f>DH44-DG44</f>
        <v>0</v>
      </c>
      <c r="DT44" s="68"/>
      <c r="DU44" s="68"/>
      <c r="DV44" s="68"/>
      <c r="DW44" s="68"/>
      <c r="DX44" s="68"/>
      <c r="DY44" s="68"/>
      <c r="DZ44" s="68"/>
      <c r="EA44" s="68"/>
      <c r="EN44" s="67"/>
    </row>
    <row r="45" spans="1:144" hidden="1" x14ac:dyDescent="0.2">
      <c r="BM45" s="56">
        <v>26536.400000000001</v>
      </c>
      <c r="BN45" s="56">
        <v>33390.800000000003</v>
      </c>
      <c r="BO45" s="56">
        <v>26292.9</v>
      </c>
      <c r="BP45" s="56">
        <v>33390.800000000003</v>
      </c>
      <c r="BQ45" s="56">
        <v>35856.6</v>
      </c>
      <c r="BR45" s="56">
        <v>35856.552109999997</v>
      </c>
      <c r="BS45" s="56">
        <v>35202.257420000002</v>
      </c>
      <c r="BW45" s="56">
        <v>27315.3</v>
      </c>
      <c r="CM45" s="59">
        <v>27315.3</v>
      </c>
      <c r="CN45" s="59">
        <v>34203.21</v>
      </c>
      <c r="CO45" s="59">
        <v>26883.9</v>
      </c>
      <c r="CP45" s="56">
        <v>34203.199999999997</v>
      </c>
      <c r="CQ45" s="56">
        <v>35385.660000000003</v>
      </c>
      <c r="CS45" s="56">
        <v>28719.4</v>
      </c>
      <c r="CX45" s="56">
        <v>28253.200000000001</v>
      </c>
      <c r="CY45" s="56">
        <v>28369.8</v>
      </c>
      <c r="DC45" s="56">
        <v>35396.300000000003</v>
      </c>
      <c r="DD45" s="56">
        <v>34812.5</v>
      </c>
      <c r="DO45" s="69">
        <f>DH45-DG45</f>
        <v>0</v>
      </c>
      <c r="DT45" s="68"/>
      <c r="DU45" s="68"/>
      <c r="DV45" s="68"/>
      <c r="DW45" s="68"/>
      <c r="DX45" s="68"/>
      <c r="DY45" s="68"/>
      <c r="DZ45" s="68"/>
      <c r="EA45" s="68"/>
      <c r="EN45" s="67"/>
    </row>
    <row r="46" spans="1:144" hidden="1" x14ac:dyDescent="0.2">
      <c r="A46" s="75" t="s">
        <v>231</v>
      </c>
      <c r="I46" s="76"/>
      <c r="J46" s="76"/>
      <c r="T46" s="73">
        <f>64/T42</f>
        <v>2.116563098383806E-3</v>
      </c>
      <c r="U46" s="73"/>
      <c r="V46" s="73"/>
      <c r="W46" s="73">
        <f>64/W42</f>
        <v>2.4637463573125148E-3</v>
      </c>
      <c r="X46" s="73">
        <f>64/X42</f>
        <v>2.340661309965731E-3</v>
      </c>
      <c r="DO46" s="69">
        <f>DH46-DG46</f>
        <v>0</v>
      </c>
      <c r="DT46" s="68"/>
      <c r="DU46" s="68"/>
      <c r="DV46" s="68"/>
      <c r="DW46" s="68"/>
      <c r="DX46" s="68"/>
      <c r="DY46" s="68"/>
      <c r="DZ46" s="68"/>
      <c r="EA46" s="68"/>
      <c r="EN46" s="67"/>
    </row>
    <row r="47" spans="1:144" hidden="1" x14ac:dyDescent="0.2">
      <c r="DO47" s="69">
        <f>DH47-DG47</f>
        <v>0</v>
      </c>
      <c r="DT47" s="68"/>
      <c r="DU47" s="68"/>
      <c r="DV47" s="68"/>
      <c r="DW47" s="68"/>
      <c r="DX47" s="68"/>
      <c r="DY47" s="68"/>
      <c r="DZ47" s="68"/>
      <c r="EA47" s="68"/>
      <c r="EN47" s="67"/>
    </row>
    <row r="48" spans="1:144" hidden="1" x14ac:dyDescent="0.2">
      <c r="A48" s="75" t="s">
        <v>230</v>
      </c>
      <c r="W48" s="71">
        <f>592/(W42-(1269.3+35+1000))</f>
        <v>2.5008026224632905E-2</v>
      </c>
      <c r="X48" s="73">
        <f>1302/(X42-1269.3)</f>
        <v>4.9935950048708641E-2</v>
      </c>
      <c r="DO48" s="69">
        <f>DH48-DG48</f>
        <v>0</v>
      </c>
      <c r="DT48" s="68"/>
      <c r="DU48" s="68"/>
      <c r="DV48" s="68"/>
      <c r="DW48" s="68"/>
      <c r="DX48" s="68"/>
      <c r="DY48" s="68"/>
      <c r="DZ48" s="68"/>
      <c r="EA48" s="68"/>
      <c r="EN48" s="67"/>
    </row>
    <row r="49" spans="1:144" hidden="1" x14ac:dyDescent="0.2">
      <c r="DO49" s="69">
        <f>DH49-DG49</f>
        <v>0</v>
      </c>
      <c r="DT49" s="68"/>
      <c r="DU49" s="68"/>
      <c r="DV49" s="68"/>
      <c r="DW49" s="68"/>
      <c r="DX49" s="68"/>
      <c r="DY49" s="68"/>
      <c r="DZ49" s="68"/>
      <c r="EA49" s="68"/>
      <c r="EN49" s="67"/>
    </row>
    <row r="50" spans="1:144" hidden="1" x14ac:dyDescent="0.2">
      <c r="A50" s="75" t="s">
        <v>229</v>
      </c>
      <c r="T50" s="73">
        <f>(T42-28986)/T42</f>
        <v>4.1395344222609431E-2</v>
      </c>
      <c r="W50" s="73">
        <f>(W42-23840.4)/W42</f>
        <v>8.2239083486355044E-2</v>
      </c>
      <c r="X50" s="73">
        <f>(X42-26206.4)/X42</f>
        <v>4.1557710101782164E-2</v>
      </c>
      <c r="DO50" s="69">
        <f>DH50-DG50</f>
        <v>0</v>
      </c>
      <c r="DT50" s="68"/>
      <c r="DU50" s="68"/>
      <c r="DV50" s="68"/>
      <c r="DW50" s="68"/>
      <c r="DX50" s="68"/>
      <c r="DY50" s="68"/>
      <c r="DZ50" s="68"/>
      <c r="EA50" s="68"/>
      <c r="EN50" s="67"/>
    </row>
    <row r="51" spans="1:144" hidden="1" x14ac:dyDescent="0.2">
      <c r="DO51" s="69">
        <f>DH51-DG51</f>
        <v>0</v>
      </c>
      <c r="DT51" s="68"/>
      <c r="DU51" s="68"/>
      <c r="DV51" s="68"/>
      <c r="DW51" s="68"/>
      <c r="DX51" s="68"/>
      <c r="DY51" s="68"/>
      <c r="DZ51" s="68"/>
      <c r="EA51" s="68"/>
      <c r="EN51" s="67"/>
    </row>
    <row r="52" spans="1:144" hidden="1" x14ac:dyDescent="0.2">
      <c r="AF52" s="74"/>
      <c r="AG52" s="73"/>
      <c r="BM52" s="65">
        <f>BM42-BM45</f>
        <v>0</v>
      </c>
      <c r="BN52" s="65">
        <f>BN42-BN45</f>
        <v>0</v>
      </c>
      <c r="BO52" s="65">
        <f>BO42-BO45</f>
        <v>0</v>
      </c>
      <c r="BP52" s="65">
        <f>BP42-BP45</f>
        <v>0</v>
      </c>
      <c r="BQ52" s="65">
        <f>BQ42-BQ45</f>
        <v>0</v>
      </c>
      <c r="BR52" s="65">
        <f>BR42-BR45</f>
        <v>4.7890000008919742E-2</v>
      </c>
      <c r="BS52" s="65">
        <f>BS42-BS45</f>
        <v>4.2580000001180451E-2</v>
      </c>
      <c r="BT52" s="65">
        <f>BT42-BT45</f>
        <v>35204.300000000003</v>
      </c>
      <c r="BU52" s="65">
        <f>BU42-BU45</f>
        <v>35206.300000000003</v>
      </c>
      <c r="BV52" s="65">
        <f>BV42-BV45</f>
        <v>35208.300000000003</v>
      </c>
      <c r="BW52" s="65">
        <f>BW42-BW45</f>
        <v>7895.0000000000036</v>
      </c>
      <c r="BX52" s="65">
        <f>BX42-BX45</f>
        <v>35212.300000000003</v>
      </c>
      <c r="BY52" s="65">
        <f>BY42-BY45</f>
        <v>35214.300000000003</v>
      </c>
      <c r="BZ52" s="65">
        <f>BZ42-BZ45</f>
        <v>35216.300000000003</v>
      </c>
      <c r="CA52" s="65">
        <f>CA42-CA45</f>
        <v>35218.300000000003</v>
      </c>
      <c r="CB52" s="65">
        <f>CB42-CB45</f>
        <v>35220.300000000003</v>
      </c>
      <c r="CC52" s="65">
        <f>CC42-CC45</f>
        <v>35222.300000000003</v>
      </c>
      <c r="CD52" s="65">
        <f>CD42-CD45</f>
        <v>35224.300000000003</v>
      </c>
      <c r="CE52" s="65">
        <f>CE42-CE45</f>
        <v>35226.300000000003</v>
      </c>
      <c r="CF52" s="65">
        <f>CF42-CF45</f>
        <v>35228.300000000003</v>
      </c>
      <c r="CG52" s="65">
        <f>CG42-CG45</f>
        <v>35230.300000000003</v>
      </c>
      <c r="CH52" s="65">
        <f>CH42-CH45</f>
        <v>35232.300000000003</v>
      </c>
      <c r="CI52" s="65">
        <f>CI42-CI45</f>
        <v>35234.300000000003</v>
      </c>
      <c r="CJ52" s="65">
        <f>CJ42-CJ45</f>
        <v>35236.300000000003</v>
      </c>
      <c r="CK52" s="65">
        <f>CK42-CK45</f>
        <v>35238.300000000003</v>
      </c>
      <c r="CL52" s="65">
        <f>CL42-CL45</f>
        <v>35240.300000000003</v>
      </c>
      <c r="CM52" s="72">
        <f>CM42-CM45</f>
        <v>0</v>
      </c>
      <c r="CN52" s="72">
        <f>CN42-CN45</f>
        <v>0</v>
      </c>
      <c r="CO52" s="72">
        <f>CO42-CO45</f>
        <v>0</v>
      </c>
      <c r="CP52" s="65">
        <f>CP42-CP45</f>
        <v>0</v>
      </c>
      <c r="CQ52" s="65">
        <f>CQ42-CQ45</f>
        <v>-1.0000000002037268E-2</v>
      </c>
      <c r="CR52" s="65">
        <f>CR42-CR45</f>
        <v>0</v>
      </c>
      <c r="CS52" s="65">
        <f>CS42-CS45</f>
        <v>-28719.4</v>
      </c>
      <c r="CT52" s="65">
        <f>CT42-CT45</f>
        <v>0</v>
      </c>
      <c r="CU52" s="65">
        <f>CU42-CU45</f>
        <v>0</v>
      </c>
      <c r="CV52" s="65">
        <f>CV42-CV45</f>
        <v>0</v>
      </c>
      <c r="CW52" s="65">
        <f>CW42-CW45</f>
        <v>0</v>
      </c>
      <c r="CX52" s="65">
        <f>CX42-CX45</f>
        <v>-28253.200000000001</v>
      </c>
      <c r="CY52" s="65">
        <f>CY42-CY45</f>
        <v>-28369.8</v>
      </c>
      <c r="CZ52" s="65">
        <f>CZ42-CZ45</f>
        <v>0</v>
      </c>
      <c r="DA52" s="65">
        <f>DA42-DA45</f>
        <v>0</v>
      </c>
      <c r="DB52" s="65">
        <f>DB42-DB45</f>
        <v>0</v>
      </c>
      <c r="DC52" s="65">
        <f>DC42-DC45</f>
        <v>0</v>
      </c>
      <c r="DD52" s="65">
        <f>DD42-DD45</f>
        <v>0</v>
      </c>
      <c r="DE52" s="65"/>
      <c r="DF52" s="65"/>
      <c r="DO52" s="69">
        <f>DH52-DG52</f>
        <v>0</v>
      </c>
      <c r="DT52" s="68"/>
      <c r="DU52" s="68"/>
      <c r="DV52" s="68"/>
      <c r="DW52" s="68"/>
      <c r="DX52" s="68"/>
      <c r="DY52" s="68"/>
      <c r="DZ52" s="68"/>
      <c r="EA52" s="68"/>
      <c r="EN52" s="67"/>
    </row>
    <row r="53" spans="1:144" hidden="1" x14ac:dyDescent="0.2">
      <c r="W53" s="71"/>
      <c r="DO53" s="69">
        <f>DH53-DG53</f>
        <v>0</v>
      </c>
      <c r="DT53" s="68"/>
      <c r="DU53" s="68"/>
      <c r="DV53" s="68"/>
      <c r="DW53" s="68"/>
      <c r="DX53" s="68"/>
      <c r="DY53" s="68"/>
      <c r="DZ53" s="68"/>
      <c r="EA53" s="68"/>
      <c r="EN53" s="67"/>
    </row>
    <row r="54" spans="1:144" hidden="1" x14ac:dyDescent="0.2">
      <c r="DO54" s="69">
        <f>DH54-DG54</f>
        <v>0</v>
      </c>
      <c r="DT54" s="68"/>
      <c r="DU54" s="68"/>
      <c r="DV54" s="68"/>
      <c r="DW54" s="68"/>
      <c r="DX54" s="68"/>
      <c r="DY54" s="68"/>
      <c r="DZ54" s="68"/>
      <c r="EA54" s="68"/>
      <c r="EN54" s="67"/>
    </row>
    <row r="55" spans="1:144" hidden="1" x14ac:dyDescent="0.2">
      <c r="A55" s="56" t="s">
        <v>228</v>
      </c>
      <c r="CS55" s="65" t="e">
        <f>64/CS42*100</f>
        <v>#DIV/0!</v>
      </c>
      <c r="CT55" s="65"/>
      <c r="CU55" s="65"/>
      <c r="CV55" s="65"/>
      <c r="CW55" s="70"/>
      <c r="CX55" s="65" t="e">
        <f>64/CX42*100</f>
        <v>#DIV/0!</v>
      </c>
      <c r="CY55" s="65" t="e">
        <f>64/CY42*100</f>
        <v>#DIV/0!</v>
      </c>
      <c r="DO55" s="69">
        <f>DH55-DG55</f>
        <v>0</v>
      </c>
      <c r="DT55" s="68"/>
      <c r="DU55" s="68"/>
      <c r="DV55" s="68"/>
      <c r="DW55" s="68"/>
      <c r="DX55" s="68"/>
      <c r="DY55" s="68"/>
      <c r="DZ55" s="68"/>
      <c r="EA55" s="68"/>
      <c r="EN55" s="67"/>
    </row>
    <row r="56" spans="1:144" hidden="1" x14ac:dyDescent="0.2">
      <c r="DO56" s="69">
        <f>DH56-DG56</f>
        <v>0</v>
      </c>
      <c r="DT56" s="68"/>
      <c r="DU56" s="68"/>
      <c r="DV56" s="68"/>
      <c r="DW56" s="68"/>
      <c r="DX56" s="68"/>
      <c r="DY56" s="68"/>
      <c r="DZ56" s="68"/>
      <c r="EA56" s="68"/>
      <c r="EN56" s="67"/>
    </row>
    <row r="57" spans="1:144" hidden="1" x14ac:dyDescent="0.2">
      <c r="A57" s="56" t="s">
        <v>227</v>
      </c>
      <c r="CX57" s="65">
        <f>682/(CX42-1052.8)*100</f>
        <v>-64.779635258358667</v>
      </c>
      <c r="CY57" s="65">
        <f>1370/(CY42-1033.4)*100</f>
        <v>-132.57209212308882</v>
      </c>
      <c r="DO57" s="69">
        <f>DH57-DG57</f>
        <v>0</v>
      </c>
      <c r="DT57" s="68"/>
      <c r="DU57" s="68"/>
      <c r="DV57" s="68"/>
      <c r="DW57" s="68"/>
      <c r="DX57" s="68"/>
      <c r="DY57" s="68"/>
      <c r="DZ57" s="68"/>
      <c r="EA57" s="68"/>
      <c r="EN57" s="67"/>
    </row>
    <row r="58" spans="1:144" hidden="1" x14ac:dyDescent="0.2">
      <c r="CS58" s="65" t="e">
        <f>1330.1/CS42*100</f>
        <v>#DIV/0!</v>
      </c>
      <c r="CT58" s="65"/>
      <c r="CU58" s="65"/>
      <c r="CV58" s="65"/>
      <c r="CW58" s="70"/>
      <c r="CX58" s="65" t="e">
        <f>1052.8/CX42*100</f>
        <v>#DIV/0!</v>
      </c>
      <c r="CY58" s="65" t="e">
        <f>1033.4/CY42*100</f>
        <v>#DIV/0!</v>
      </c>
      <c r="CZ58" s="65"/>
      <c r="DO58" s="69">
        <f>DH58-DG58</f>
        <v>0</v>
      </c>
      <c r="DT58" s="68"/>
      <c r="DU58" s="68"/>
      <c r="DV58" s="68"/>
      <c r="DW58" s="68"/>
      <c r="DX58" s="68"/>
      <c r="DY58" s="68"/>
      <c r="DZ58" s="68"/>
      <c r="EA58" s="68"/>
      <c r="EN58" s="67"/>
    </row>
    <row r="59" spans="1:144" hidden="1" x14ac:dyDescent="0.2">
      <c r="A59" s="56" t="s">
        <v>226</v>
      </c>
      <c r="DO59" s="69">
        <f>DH59-DG59</f>
        <v>0</v>
      </c>
      <c r="DT59" s="68"/>
      <c r="DU59" s="68"/>
      <c r="DV59" s="68"/>
      <c r="DW59" s="68"/>
      <c r="DX59" s="68"/>
      <c r="DY59" s="68"/>
      <c r="DZ59" s="68"/>
      <c r="EA59" s="68"/>
      <c r="EN59" s="67"/>
    </row>
    <row r="60" spans="1:144" hidden="1" x14ac:dyDescent="0.2">
      <c r="DO60" s="69">
        <f>DH60-DG60</f>
        <v>0</v>
      </c>
      <c r="DT60" s="68"/>
      <c r="DU60" s="68"/>
      <c r="DV60" s="68"/>
      <c r="DW60" s="68"/>
      <c r="DX60" s="68"/>
      <c r="DY60" s="68"/>
      <c r="DZ60" s="68"/>
      <c r="EA60" s="68"/>
      <c r="EN60" s="67"/>
    </row>
    <row r="61" spans="1:144" hidden="1" x14ac:dyDescent="0.2">
      <c r="DO61" s="69">
        <f>DH61-DG61</f>
        <v>0</v>
      </c>
      <c r="DT61" s="68"/>
      <c r="DU61" s="68"/>
      <c r="DV61" s="68"/>
      <c r="DW61" s="68"/>
      <c r="DX61" s="68"/>
      <c r="DY61" s="68"/>
      <c r="DZ61" s="68"/>
      <c r="EA61" s="68"/>
      <c r="EN61" s="67"/>
    </row>
    <row r="62" spans="1:144" hidden="1" x14ac:dyDescent="0.2">
      <c r="CS62" s="56">
        <f>CP42/CM42*100</f>
        <v>125.21627073471645</v>
      </c>
      <c r="DO62" s="69">
        <f>DH62-DG62</f>
        <v>0</v>
      </c>
      <c r="DT62" s="68"/>
      <c r="DU62" s="68"/>
      <c r="DV62" s="68"/>
      <c r="DW62" s="68"/>
      <c r="DX62" s="68"/>
      <c r="DY62" s="68"/>
      <c r="DZ62" s="68"/>
      <c r="EA62" s="68"/>
      <c r="EN62" s="67"/>
    </row>
    <row r="63" spans="1:144" hidden="1" x14ac:dyDescent="0.2">
      <c r="CS63" s="56">
        <f>CP42/CN42*100</f>
        <v>99.99997076297808</v>
      </c>
      <c r="DD63" s="56">
        <v>34812.6</v>
      </c>
      <c r="DE63" s="56">
        <v>28719.4</v>
      </c>
      <c r="DF63" s="56">
        <v>42164.480000000003</v>
      </c>
      <c r="DG63" s="56">
        <v>42164.5</v>
      </c>
      <c r="DH63" s="56">
        <v>30710.6</v>
      </c>
      <c r="DI63" s="56">
        <v>30043.3</v>
      </c>
      <c r="DJ63" s="56">
        <v>30055.3</v>
      </c>
      <c r="DT63" s="68"/>
      <c r="DU63" s="68"/>
      <c r="DV63" s="68"/>
      <c r="DW63" s="68"/>
      <c r="DX63" s="68"/>
      <c r="DY63" s="68"/>
      <c r="DZ63" s="68"/>
      <c r="EA63" s="68"/>
      <c r="EN63" s="67"/>
    </row>
    <row r="64" spans="1:144" hidden="1" x14ac:dyDescent="0.2">
      <c r="DD64" s="65">
        <f>DD42-DD63</f>
        <v>-9.9999999998544808E-2</v>
      </c>
      <c r="DE64" s="65">
        <f>DE42-DE63</f>
        <v>0</v>
      </c>
      <c r="DF64" s="65">
        <f>DF42-DF63</f>
        <v>0</v>
      </c>
      <c r="DG64" s="65">
        <f>DG42-DG63</f>
        <v>0</v>
      </c>
      <c r="DH64" s="65">
        <f>DH42-DH63</f>
        <v>0</v>
      </c>
      <c r="DI64" s="65">
        <f>DI42-DI63</f>
        <v>0</v>
      </c>
      <c r="DJ64" s="65">
        <f>DJ42-DJ63</f>
        <v>0</v>
      </c>
      <c r="DT64" s="68"/>
      <c r="DU64" s="68"/>
      <c r="DV64" s="68"/>
      <c r="DW64" s="68"/>
      <c r="DX64" s="68"/>
      <c r="DY64" s="68"/>
      <c r="DZ64" s="68"/>
      <c r="EA64" s="68"/>
      <c r="EN64" s="67"/>
    </row>
    <row r="65" spans="113:144" hidden="1" x14ac:dyDescent="0.2">
      <c r="EN65" s="67"/>
    </row>
    <row r="66" spans="113:144" hidden="1" x14ac:dyDescent="0.2">
      <c r="DI66" s="56">
        <f>728/DI42*100</f>
        <v>2.4231692257508328</v>
      </c>
      <c r="DJ66" s="56">
        <f>1456/DJ42*100</f>
        <v>4.8444034829131635</v>
      </c>
      <c r="EN66" s="67"/>
    </row>
    <row r="67" spans="113:144" hidden="1" x14ac:dyDescent="0.2">
      <c r="DQ67" s="56">
        <v>45098.559999999998</v>
      </c>
      <c r="DR67" s="56">
        <v>45098.6</v>
      </c>
      <c r="DS67" s="56">
        <v>45015.9</v>
      </c>
      <c r="EN67" s="67"/>
    </row>
    <row r="68" spans="113:144" hidden="1" x14ac:dyDescent="0.2">
      <c r="DQ68" s="65">
        <f>DQ42-DQ67</f>
        <v>-9.9999999947613105E-3</v>
      </c>
      <c r="DR68" s="65">
        <f>DR42-DR67</f>
        <v>0</v>
      </c>
      <c r="DS68" s="65">
        <f>DS42-DS67</f>
        <v>0</v>
      </c>
      <c r="EN68" s="67"/>
    </row>
    <row r="69" spans="113:144" x14ac:dyDescent="0.2">
      <c r="DT69" s="56">
        <v>30710.6</v>
      </c>
      <c r="DU69" s="56">
        <v>42477.84</v>
      </c>
      <c r="DV69" s="56">
        <v>42438.54</v>
      </c>
      <c r="DW69" s="56">
        <v>31388.21</v>
      </c>
      <c r="DX69" s="56">
        <v>42479.3</v>
      </c>
      <c r="DY69" s="56">
        <v>34060.6</v>
      </c>
      <c r="DZ69" s="56">
        <v>31917.1</v>
      </c>
      <c r="EA69" s="56">
        <v>31565.1</v>
      </c>
      <c r="EB69" s="57">
        <v>42328.66</v>
      </c>
      <c r="EC69" s="57">
        <v>42328.6</v>
      </c>
      <c r="ED69" s="57">
        <v>41827</v>
      </c>
      <c r="EG69" s="56">
        <v>501.5</v>
      </c>
    </row>
    <row r="70" spans="113:144" x14ac:dyDescent="0.2">
      <c r="DT70" s="65">
        <f>DT42-DT69</f>
        <v>0</v>
      </c>
      <c r="DU70" s="65">
        <f>DU42-DU69</f>
        <v>0</v>
      </c>
      <c r="DV70" s="65">
        <f>DV42-DV69</f>
        <v>0</v>
      </c>
      <c r="DW70" s="65">
        <f>DW42-DW69</f>
        <v>-5.9999999997671694E-2</v>
      </c>
      <c r="DX70" s="65">
        <f>DX42-DX69</f>
        <v>0</v>
      </c>
      <c r="DY70" s="65">
        <f>DY42-DY69</f>
        <v>0</v>
      </c>
      <c r="DZ70" s="65">
        <f>DZ42-DZ69</f>
        <v>0</v>
      </c>
      <c r="EA70" s="65">
        <f>EA42-EA69</f>
        <v>0</v>
      </c>
      <c r="EB70" s="66">
        <f>EB42-EB69</f>
        <v>-5.9999999997671694E-2</v>
      </c>
      <c r="EC70" s="66">
        <f>EC42-EC69</f>
        <v>0</v>
      </c>
      <c r="ED70" s="66">
        <f>ED42-ED69</f>
        <v>0</v>
      </c>
      <c r="EE70" s="65"/>
      <c r="EF70" s="65"/>
      <c r="EG70" s="65">
        <f>EG42-EG69</f>
        <v>-1.4779288903810084E-12</v>
      </c>
    </row>
    <row r="72" spans="113:144" x14ac:dyDescent="0.2">
      <c r="DY72" s="65">
        <f>DY10/DY42*100</f>
        <v>0.1879003893061191</v>
      </c>
      <c r="DZ72" s="65">
        <f>DZ10/DZ42*100</f>
        <v>0.20051947075392187</v>
      </c>
      <c r="EA72" s="65">
        <f>EA10/EA42*100</f>
        <v>0.20275557498629815</v>
      </c>
    </row>
    <row r="74" spans="113:144" x14ac:dyDescent="0.2">
      <c r="DZ74" s="65">
        <f>776.1/(DZ42-873.2)*100</f>
        <v>2.5000080531118836</v>
      </c>
      <c r="EA74" s="65">
        <f>1552.2/(EA42-522.5)*100</f>
        <v>5.0002254965756734</v>
      </c>
    </row>
  </sheetData>
  <mergeCells count="2">
    <mergeCell ref="A1:EM2"/>
    <mergeCell ref="A3:EM3"/>
  </mergeCells>
  <pageMargins left="0.19685039370078741" right="0.19685039370078741" top="0.19685039370078741" bottom="0.19685039370078741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78"/>
  <sheetViews>
    <sheetView tabSelected="1" zoomScale="110" zoomScaleNormal="110" workbookViewId="0">
      <pane ySplit="6" topLeftCell="A296" activePane="bottomLeft" state="frozen"/>
      <selection pane="bottomLeft" sqref="A1:R300"/>
    </sheetView>
  </sheetViews>
  <sheetFormatPr defaultRowHeight="12.75" x14ac:dyDescent="0.2"/>
  <cols>
    <col min="1" max="1" width="35.28515625" style="194" customWidth="1"/>
    <col min="2" max="2" width="2.7109375" style="195" bestFit="1" customWidth="1"/>
    <col min="3" max="3" width="3" style="195" bestFit="1" customWidth="1"/>
    <col min="4" max="4" width="11.28515625" style="195" bestFit="1" customWidth="1"/>
    <col min="5" max="5" width="3.5703125" style="195" bestFit="1" customWidth="1"/>
    <col min="6" max="6" width="4.42578125" style="195" customWidth="1"/>
    <col min="7" max="7" width="9.140625" style="202" customWidth="1"/>
    <col min="8" max="8" width="8.5703125" style="359" customWidth="1"/>
    <col min="9" max="9" width="9.5703125" style="202" customWidth="1"/>
    <col min="10" max="10" width="8.85546875" style="202" customWidth="1"/>
    <col min="11" max="11" width="6.42578125" style="197" customWidth="1"/>
    <col min="12" max="12" width="6.140625" style="197" customWidth="1"/>
    <col min="13" max="13" width="6.85546875" style="197" customWidth="1"/>
    <col min="14" max="14" width="6.140625" style="197" customWidth="1"/>
    <col min="15" max="15" width="6.7109375" style="197" customWidth="1"/>
    <col min="16" max="16" width="7.42578125" style="197" customWidth="1"/>
    <col min="17" max="17" width="8.140625" style="197" customWidth="1"/>
    <col min="18" max="18" width="6.7109375" style="197" customWidth="1"/>
    <col min="19" max="20" width="9.140625" style="197"/>
    <col min="21" max="16384" width="9.140625" style="198"/>
  </cols>
  <sheetData>
    <row r="1" spans="1:20" x14ac:dyDescent="0.2">
      <c r="E1" s="196" t="s">
        <v>418</v>
      </c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0" x14ac:dyDescent="0.2">
      <c r="A2" s="199"/>
      <c r="B2" s="200"/>
      <c r="C2" s="200"/>
      <c r="D2" s="200"/>
      <c r="E2" s="200"/>
      <c r="F2" s="200"/>
      <c r="G2" s="201"/>
      <c r="H2" s="201"/>
    </row>
    <row r="3" spans="1:20" ht="12.75" customHeight="1" x14ac:dyDescent="0.2">
      <c r="A3" s="203" t="s">
        <v>419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20" ht="18.75" x14ac:dyDescent="0.2">
      <c r="A4" s="204"/>
      <c r="B4" s="200"/>
      <c r="C4" s="200"/>
      <c r="D4" s="200"/>
      <c r="E4" s="200"/>
      <c r="F4" s="200"/>
      <c r="G4" s="205"/>
      <c r="H4" s="205"/>
      <c r="I4" s="206" t="s">
        <v>420</v>
      </c>
      <c r="J4" s="206"/>
      <c r="K4" s="206"/>
      <c r="L4" s="206"/>
      <c r="M4" s="206"/>
      <c r="N4" s="206"/>
      <c r="O4" s="206"/>
      <c r="P4" s="206"/>
      <c r="Q4" s="206"/>
      <c r="R4" s="206"/>
    </row>
    <row r="5" spans="1:20" x14ac:dyDescent="0.2">
      <c r="A5" s="207"/>
      <c r="B5" s="200"/>
      <c r="C5" s="200"/>
      <c r="D5" s="200"/>
      <c r="E5" s="200"/>
      <c r="F5" s="200"/>
      <c r="G5" s="201"/>
      <c r="H5" s="208"/>
    </row>
    <row r="6" spans="1:20" s="215" customFormat="1" ht="87" customHeight="1" x14ac:dyDescent="0.2">
      <c r="A6" s="209" t="s">
        <v>415</v>
      </c>
      <c r="B6" s="210" t="s">
        <v>414</v>
      </c>
      <c r="C6" s="210" t="s">
        <v>421</v>
      </c>
      <c r="D6" s="210" t="s">
        <v>422</v>
      </c>
      <c r="E6" s="210" t="s">
        <v>423</v>
      </c>
      <c r="F6" s="211" t="s">
        <v>424</v>
      </c>
      <c r="G6" s="212" t="s">
        <v>425</v>
      </c>
      <c r="H6" s="212" t="s">
        <v>309</v>
      </c>
      <c r="I6" s="212" t="s">
        <v>308</v>
      </c>
      <c r="J6" s="212" t="s">
        <v>307</v>
      </c>
      <c r="K6" s="213" t="s">
        <v>306</v>
      </c>
      <c r="L6" s="213" t="s">
        <v>305</v>
      </c>
      <c r="M6" s="213" t="s">
        <v>304</v>
      </c>
      <c r="N6" s="213" t="s">
        <v>303</v>
      </c>
      <c r="O6" s="213" t="s">
        <v>302</v>
      </c>
      <c r="P6" s="213" t="s">
        <v>301</v>
      </c>
      <c r="Q6" s="213" t="s">
        <v>299</v>
      </c>
      <c r="R6" s="213" t="s">
        <v>298</v>
      </c>
      <c r="S6" s="214"/>
      <c r="T6" s="214"/>
    </row>
    <row r="7" spans="1:20" ht="21" customHeight="1" thickBot="1" x14ac:dyDescent="0.25">
      <c r="A7" s="216" t="s">
        <v>426</v>
      </c>
      <c r="B7" s="217"/>
      <c r="C7" s="217"/>
      <c r="D7" s="217"/>
      <c r="E7" s="217"/>
      <c r="F7" s="218"/>
      <c r="G7" s="219">
        <f>G300</f>
        <v>30710.600000000002</v>
      </c>
      <c r="H7" s="219">
        <f>H300</f>
        <v>42328.55</v>
      </c>
      <c r="I7" s="219">
        <f t="shared" ref="I7:J7" si="0">I300</f>
        <v>42328.563940000007</v>
      </c>
      <c r="J7" s="219">
        <f t="shared" si="0"/>
        <v>41827.030279999999</v>
      </c>
      <c r="K7" s="219">
        <f>I7-H7</f>
        <v>1.3940000004367903E-2</v>
      </c>
      <c r="L7" s="219">
        <f>I7/H7*100</f>
        <v>100.00003293285502</v>
      </c>
      <c r="M7" s="219">
        <f>I7-J7</f>
        <v>501.53366000000824</v>
      </c>
      <c r="N7" s="219">
        <f>J7/I7*100</f>
        <v>98.81514132936114</v>
      </c>
      <c r="O7" s="219">
        <f>J7/G7*100</f>
        <v>136.19737250330505</v>
      </c>
      <c r="P7" s="219">
        <f>J7/H7*100</f>
        <v>98.815173872008373</v>
      </c>
      <c r="Q7" s="219">
        <f>H7-G7</f>
        <v>11617.95</v>
      </c>
      <c r="R7" s="219">
        <f>H7/G7*100</f>
        <v>137.83042337173484</v>
      </c>
    </row>
    <row r="8" spans="1:20" ht="13.5" thickBot="1" x14ac:dyDescent="0.25">
      <c r="A8" s="220" t="s">
        <v>297</v>
      </c>
      <c r="B8" s="221">
        <v>1</v>
      </c>
      <c r="C8" s="222"/>
      <c r="D8" s="223"/>
      <c r="E8" s="224"/>
      <c r="F8" s="225"/>
      <c r="G8" s="226">
        <f>G9+G22+G35+G41+G30</f>
        <v>10510.7</v>
      </c>
      <c r="H8" s="226">
        <f>H9+H22+H35+H41+H30</f>
        <v>13619.140000000001</v>
      </c>
      <c r="I8" s="226">
        <f>I9+I22+I35+I41+I30</f>
        <v>13619.145550000001</v>
      </c>
      <c r="J8" s="226">
        <f>J9+J22+J35+J41+J30</f>
        <v>13618.996710000001</v>
      </c>
      <c r="K8" s="226">
        <f t="shared" ref="K8:K96" si="1">I8-H8</f>
        <v>5.5499999998573912E-3</v>
      </c>
      <c r="L8" s="226">
        <f t="shared" ref="L8:L96" si="2">I8/H8*100</f>
        <v>100.00004075147181</v>
      </c>
      <c r="M8" s="226">
        <f t="shared" ref="M8:M96" si="3">I8-J8</f>
        <v>0.14883999999983644</v>
      </c>
      <c r="N8" s="226">
        <f t="shared" ref="N8:N96" si="4">J8/I8*100</f>
        <v>99.998907126739681</v>
      </c>
      <c r="O8" s="226">
        <f t="shared" ref="O8:O93" si="5">J8/G8*100</f>
        <v>129.57268983036334</v>
      </c>
      <c r="P8" s="226">
        <f t="shared" ref="P8:P96" si="6">J8/H8*100</f>
        <v>99.998947877766142</v>
      </c>
      <c r="Q8" s="226">
        <f t="shared" ref="Q8:Q96" si="7">H8-G8</f>
        <v>3108.4400000000005</v>
      </c>
      <c r="R8" s="226">
        <f t="shared" ref="R8:R93" si="8">H8/G8*100</f>
        <v>129.5740531077854</v>
      </c>
    </row>
    <row r="9" spans="1:20" ht="21" x14ac:dyDescent="0.2">
      <c r="A9" s="227" t="s">
        <v>427</v>
      </c>
      <c r="B9" s="228">
        <v>1</v>
      </c>
      <c r="C9" s="229">
        <v>2</v>
      </c>
      <c r="D9" s="230"/>
      <c r="E9" s="231"/>
      <c r="F9" s="232"/>
      <c r="G9" s="233">
        <f>G11</f>
        <v>2860</v>
      </c>
      <c r="H9" s="233">
        <f>H11</f>
        <v>3704.9900000000002</v>
      </c>
      <c r="I9" s="233">
        <f t="shared" ref="I9:J9" si="9">I11</f>
        <v>3704.9920299999994</v>
      </c>
      <c r="J9" s="233">
        <f t="shared" si="9"/>
        <v>3704.9920299999994</v>
      </c>
      <c r="K9" s="233">
        <f t="shared" si="1"/>
        <v>2.0299999991948425E-3</v>
      </c>
      <c r="L9" s="233">
        <f t="shared" si="2"/>
        <v>100.00005479097108</v>
      </c>
      <c r="M9" s="233">
        <f t="shared" si="3"/>
        <v>0</v>
      </c>
      <c r="N9" s="233">
        <f t="shared" si="4"/>
        <v>100</v>
      </c>
      <c r="O9" s="233">
        <f t="shared" si="5"/>
        <v>129.54517587412587</v>
      </c>
      <c r="P9" s="233">
        <f t="shared" si="6"/>
        <v>100.00005479097108</v>
      </c>
      <c r="Q9" s="233">
        <f t="shared" si="7"/>
        <v>844.99000000000024</v>
      </c>
      <c r="R9" s="233">
        <f t="shared" si="8"/>
        <v>129.54510489510491</v>
      </c>
    </row>
    <row r="10" spans="1:20" x14ac:dyDescent="0.2">
      <c r="A10" s="234" t="s">
        <v>428</v>
      </c>
      <c r="B10" s="235">
        <v>1</v>
      </c>
      <c r="C10" s="236">
        <v>2</v>
      </c>
      <c r="D10" s="237" t="s">
        <v>429</v>
      </c>
      <c r="E10" s="238"/>
      <c r="F10" s="239"/>
      <c r="G10" s="240">
        <f>G11</f>
        <v>2860</v>
      </c>
      <c r="H10" s="240">
        <f>H11</f>
        <v>3704.9900000000002</v>
      </c>
      <c r="I10" s="240">
        <f t="shared" ref="I10:J10" si="10">I11</f>
        <v>3704.9920299999994</v>
      </c>
      <c r="J10" s="240">
        <f t="shared" si="10"/>
        <v>3704.9920299999994</v>
      </c>
      <c r="K10" s="240">
        <f t="shared" si="1"/>
        <v>2.0299999991948425E-3</v>
      </c>
      <c r="L10" s="240">
        <f t="shared" si="2"/>
        <v>100.00005479097108</v>
      </c>
      <c r="M10" s="240">
        <f t="shared" si="3"/>
        <v>0</v>
      </c>
      <c r="N10" s="240">
        <f t="shared" si="4"/>
        <v>100</v>
      </c>
      <c r="O10" s="240">
        <f t="shared" si="5"/>
        <v>129.54517587412587</v>
      </c>
      <c r="P10" s="240">
        <f t="shared" si="6"/>
        <v>100.00005479097108</v>
      </c>
      <c r="Q10" s="240">
        <f t="shared" si="7"/>
        <v>844.99000000000024</v>
      </c>
      <c r="R10" s="240">
        <f t="shared" si="8"/>
        <v>129.54510489510491</v>
      </c>
    </row>
    <row r="11" spans="1:20" ht="33.75" x14ac:dyDescent="0.2">
      <c r="A11" s="234" t="s">
        <v>430</v>
      </c>
      <c r="B11" s="235">
        <v>1</v>
      </c>
      <c r="C11" s="236">
        <v>2</v>
      </c>
      <c r="D11" s="237" t="s">
        <v>431</v>
      </c>
      <c r="E11" s="238"/>
      <c r="F11" s="239"/>
      <c r="G11" s="240">
        <f>G12+G17</f>
        <v>2860</v>
      </c>
      <c r="H11" s="240">
        <f>H12+H17</f>
        <v>3704.9900000000002</v>
      </c>
      <c r="I11" s="240">
        <f t="shared" ref="I11:J11" si="11">I12+I17</f>
        <v>3704.9920299999994</v>
      </c>
      <c r="J11" s="240">
        <f t="shared" si="11"/>
        <v>3704.9920299999994</v>
      </c>
      <c r="K11" s="240">
        <f t="shared" si="1"/>
        <v>2.0299999991948425E-3</v>
      </c>
      <c r="L11" s="240">
        <f t="shared" si="2"/>
        <v>100.00005479097108</v>
      </c>
      <c r="M11" s="240">
        <f t="shared" si="3"/>
        <v>0</v>
      </c>
      <c r="N11" s="240">
        <f t="shared" si="4"/>
        <v>100</v>
      </c>
      <c r="O11" s="240">
        <f t="shared" si="5"/>
        <v>129.54517587412587</v>
      </c>
      <c r="P11" s="240">
        <f t="shared" si="6"/>
        <v>100.00005479097108</v>
      </c>
      <c r="Q11" s="240">
        <f t="shared" si="7"/>
        <v>844.99000000000024</v>
      </c>
      <c r="R11" s="240">
        <f t="shared" si="8"/>
        <v>129.54510489510491</v>
      </c>
    </row>
    <row r="12" spans="1:20" x14ac:dyDescent="0.2">
      <c r="A12" s="241" t="s">
        <v>432</v>
      </c>
      <c r="B12" s="242">
        <v>1</v>
      </c>
      <c r="C12" s="243">
        <v>2</v>
      </c>
      <c r="D12" s="244" t="s">
        <v>433</v>
      </c>
      <c r="E12" s="245"/>
      <c r="F12" s="246"/>
      <c r="G12" s="247">
        <f>G13</f>
        <v>1600</v>
      </c>
      <c r="H12" s="247">
        <f>H13</f>
        <v>2436.0700000000002</v>
      </c>
      <c r="I12" s="247">
        <f t="shared" ref="I12:J13" si="12">I13</f>
        <v>2436.0726799999998</v>
      </c>
      <c r="J12" s="247">
        <f t="shared" si="12"/>
        <v>2436.0726799999998</v>
      </c>
      <c r="K12" s="247">
        <f t="shared" si="1"/>
        <v>2.6799999996001134E-3</v>
      </c>
      <c r="L12" s="247">
        <f t="shared" si="2"/>
        <v>100.00011001325903</v>
      </c>
      <c r="M12" s="247">
        <f t="shared" si="3"/>
        <v>0</v>
      </c>
      <c r="N12" s="247">
        <f t="shared" si="4"/>
        <v>100</v>
      </c>
      <c r="O12" s="247">
        <f t="shared" si="5"/>
        <v>152.25454249999999</v>
      </c>
      <c r="P12" s="247">
        <f t="shared" si="6"/>
        <v>100.00011001325903</v>
      </c>
      <c r="Q12" s="247">
        <f t="shared" si="7"/>
        <v>836.07000000000016</v>
      </c>
      <c r="R12" s="247">
        <f t="shared" si="8"/>
        <v>152.25437500000001</v>
      </c>
    </row>
    <row r="13" spans="1:20" ht="45" customHeight="1" x14ac:dyDescent="0.2">
      <c r="A13" s="248" t="s">
        <v>434</v>
      </c>
      <c r="B13" s="235">
        <v>1</v>
      </c>
      <c r="C13" s="236">
        <v>2</v>
      </c>
      <c r="D13" s="237" t="s">
        <v>433</v>
      </c>
      <c r="E13" s="238">
        <v>100</v>
      </c>
      <c r="F13" s="239"/>
      <c r="G13" s="240">
        <f>G14</f>
        <v>1600</v>
      </c>
      <c r="H13" s="240">
        <f>H14</f>
        <v>2436.0700000000002</v>
      </c>
      <c r="I13" s="240">
        <f t="shared" si="12"/>
        <v>2436.0726799999998</v>
      </c>
      <c r="J13" s="240">
        <f t="shared" si="12"/>
        <v>2436.0726799999998</v>
      </c>
      <c r="K13" s="240">
        <f t="shared" si="1"/>
        <v>2.6799999996001134E-3</v>
      </c>
      <c r="L13" s="240">
        <f t="shared" si="2"/>
        <v>100.00011001325903</v>
      </c>
      <c r="M13" s="240">
        <f t="shared" si="3"/>
        <v>0</v>
      </c>
      <c r="N13" s="240">
        <f t="shared" si="4"/>
        <v>100</v>
      </c>
      <c r="O13" s="240">
        <f t="shared" si="5"/>
        <v>152.25454249999999</v>
      </c>
      <c r="P13" s="240">
        <f t="shared" si="6"/>
        <v>100.00011001325903</v>
      </c>
      <c r="Q13" s="240">
        <f t="shared" si="7"/>
        <v>836.07000000000016</v>
      </c>
      <c r="R13" s="240">
        <f t="shared" si="8"/>
        <v>152.25437500000001</v>
      </c>
    </row>
    <row r="14" spans="1:20" ht="22.5" x14ac:dyDescent="0.2">
      <c r="A14" s="234" t="s">
        <v>435</v>
      </c>
      <c r="B14" s="235">
        <v>1</v>
      </c>
      <c r="C14" s="236">
        <v>2</v>
      </c>
      <c r="D14" s="237" t="s">
        <v>433</v>
      </c>
      <c r="E14" s="238">
        <v>120</v>
      </c>
      <c r="F14" s="239"/>
      <c r="G14" s="240">
        <v>1600</v>
      </c>
      <c r="H14" s="240">
        <v>2436.0700000000002</v>
      </c>
      <c r="I14" s="240">
        <f>I15+I16</f>
        <v>2436.0726799999998</v>
      </c>
      <c r="J14" s="240">
        <f>J15+J16</f>
        <v>2436.0726799999998</v>
      </c>
      <c r="K14" s="240">
        <f t="shared" si="1"/>
        <v>2.6799999996001134E-3</v>
      </c>
      <c r="L14" s="240">
        <f t="shared" si="2"/>
        <v>100.00011001325903</v>
      </c>
      <c r="M14" s="240">
        <f t="shared" si="3"/>
        <v>0</v>
      </c>
      <c r="N14" s="240">
        <f t="shared" si="4"/>
        <v>100</v>
      </c>
      <c r="O14" s="240">
        <f t="shared" si="5"/>
        <v>152.25454249999999</v>
      </c>
      <c r="P14" s="240">
        <f t="shared" si="6"/>
        <v>100.00011001325903</v>
      </c>
      <c r="Q14" s="240">
        <f t="shared" si="7"/>
        <v>836.07000000000016</v>
      </c>
      <c r="R14" s="240">
        <f t="shared" si="8"/>
        <v>152.25437500000001</v>
      </c>
    </row>
    <row r="15" spans="1:20" x14ac:dyDescent="0.2">
      <c r="A15" s="234"/>
      <c r="B15" s="235">
        <v>1</v>
      </c>
      <c r="C15" s="236">
        <v>2</v>
      </c>
      <c r="D15" s="237" t="s">
        <v>433</v>
      </c>
      <c r="E15" s="238">
        <v>121</v>
      </c>
      <c r="F15" s="239">
        <v>211</v>
      </c>
      <c r="G15" s="240"/>
      <c r="H15" s="240"/>
      <c r="I15" s="240">
        <v>1965.6724999999999</v>
      </c>
      <c r="J15" s="240">
        <v>1965.6724999999999</v>
      </c>
      <c r="K15" s="240"/>
      <c r="L15" s="240"/>
      <c r="M15" s="240">
        <f t="shared" si="3"/>
        <v>0</v>
      </c>
      <c r="N15" s="240"/>
      <c r="O15" s="240"/>
      <c r="P15" s="240"/>
      <c r="Q15" s="240"/>
      <c r="R15" s="240"/>
    </row>
    <row r="16" spans="1:20" x14ac:dyDescent="0.2">
      <c r="A16" s="234"/>
      <c r="B16" s="235">
        <v>1</v>
      </c>
      <c r="C16" s="236">
        <v>2</v>
      </c>
      <c r="D16" s="237" t="s">
        <v>433</v>
      </c>
      <c r="E16" s="238">
        <v>129</v>
      </c>
      <c r="F16" s="239">
        <v>213</v>
      </c>
      <c r="G16" s="240"/>
      <c r="H16" s="240"/>
      <c r="I16" s="240">
        <v>470.40017999999998</v>
      </c>
      <c r="J16" s="240">
        <v>470.40017999999998</v>
      </c>
      <c r="K16" s="240"/>
      <c r="L16" s="240"/>
      <c r="M16" s="240">
        <f t="shared" si="3"/>
        <v>0</v>
      </c>
      <c r="N16" s="240"/>
      <c r="O16" s="240"/>
      <c r="P16" s="240"/>
      <c r="Q16" s="240"/>
      <c r="R16" s="240"/>
    </row>
    <row r="17" spans="1:18" ht="14.25" customHeight="1" x14ac:dyDescent="0.2">
      <c r="A17" s="241" t="s">
        <v>436</v>
      </c>
      <c r="B17" s="242">
        <v>1</v>
      </c>
      <c r="C17" s="243">
        <v>2</v>
      </c>
      <c r="D17" s="244" t="s">
        <v>437</v>
      </c>
      <c r="E17" s="245"/>
      <c r="F17" s="246"/>
      <c r="G17" s="247">
        <f>G18</f>
        <v>1260</v>
      </c>
      <c r="H17" s="247">
        <f>H18</f>
        <v>1268.92</v>
      </c>
      <c r="I17" s="247">
        <f t="shared" ref="I17:J18" si="13">I18</f>
        <v>1268.9193499999999</v>
      </c>
      <c r="J17" s="247">
        <f t="shared" si="13"/>
        <v>1268.9193499999999</v>
      </c>
      <c r="K17" s="247">
        <f t="shared" si="1"/>
        <v>-6.5000000017789716E-4</v>
      </c>
      <c r="L17" s="247">
        <f t="shared" si="2"/>
        <v>99.999948775336492</v>
      </c>
      <c r="M17" s="247">
        <f t="shared" si="3"/>
        <v>0</v>
      </c>
      <c r="N17" s="247">
        <f t="shared" si="4"/>
        <v>100</v>
      </c>
      <c r="O17" s="247">
        <f t="shared" si="5"/>
        <v>100.70788492063491</v>
      </c>
      <c r="P17" s="247">
        <f t="shared" si="6"/>
        <v>99.999948775336492</v>
      </c>
      <c r="Q17" s="247">
        <f t="shared" si="7"/>
        <v>8.9200000000000728</v>
      </c>
      <c r="R17" s="247">
        <f t="shared" si="8"/>
        <v>100.70793650793652</v>
      </c>
    </row>
    <row r="18" spans="1:18" ht="45.75" customHeight="1" x14ac:dyDescent="0.2">
      <c r="A18" s="248" t="s">
        <v>434</v>
      </c>
      <c r="B18" s="235">
        <v>1</v>
      </c>
      <c r="C18" s="236">
        <v>2</v>
      </c>
      <c r="D18" s="237" t="s">
        <v>437</v>
      </c>
      <c r="E18" s="238">
        <v>100</v>
      </c>
      <c r="F18" s="239"/>
      <c r="G18" s="240">
        <f>G19</f>
        <v>1260</v>
      </c>
      <c r="H18" s="240">
        <f>H19</f>
        <v>1268.92</v>
      </c>
      <c r="I18" s="240">
        <f t="shared" si="13"/>
        <v>1268.9193499999999</v>
      </c>
      <c r="J18" s="240">
        <f t="shared" si="13"/>
        <v>1268.9193499999999</v>
      </c>
      <c r="K18" s="240">
        <f t="shared" si="1"/>
        <v>-6.5000000017789716E-4</v>
      </c>
      <c r="L18" s="240">
        <f t="shared" si="2"/>
        <v>99.999948775336492</v>
      </c>
      <c r="M18" s="240">
        <f t="shared" si="3"/>
        <v>0</v>
      </c>
      <c r="N18" s="240">
        <f t="shared" si="4"/>
        <v>100</v>
      </c>
      <c r="O18" s="240">
        <f t="shared" si="5"/>
        <v>100.70788492063491</v>
      </c>
      <c r="P18" s="240">
        <f t="shared" si="6"/>
        <v>99.999948775336492</v>
      </c>
      <c r="Q18" s="240">
        <f t="shared" si="7"/>
        <v>8.9200000000000728</v>
      </c>
      <c r="R18" s="240">
        <f t="shared" si="8"/>
        <v>100.70793650793652</v>
      </c>
    </row>
    <row r="19" spans="1:18" ht="22.5" x14ac:dyDescent="0.2">
      <c r="A19" s="234" t="s">
        <v>435</v>
      </c>
      <c r="B19" s="235">
        <v>1</v>
      </c>
      <c r="C19" s="236">
        <v>2</v>
      </c>
      <c r="D19" s="237" t="s">
        <v>437</v>
      </c>
      <c r="E19" s="238">
        <v>120</v>
      </c>
      <c r="F19" s="239"/>
      <c r="G19" s="240">
        <v>1260</v>
      </c>
      <c r="H19" s="240">
        <v>1268.92</v>
      </c>
      <c r="I19" s="240">
        <f>I20+I21</f>
        <v>1268.9193499999999</v>
      </c>
      <c r="J19" s="240">
        <f>J20+J21</f>
        <v>1268.9193499999999</v>
      </c>
      <c r="K19" s="240">
        <f t="shared" si="1"/>
        <v>-6.5000000017789716E-4</v>
      </c>
      <c r="L19" s="240">
        <f t="shared" si="2"/>
        <v>99.999948775336492</v>
      </c>
      <c r="M19" s="240">
        <f t="shared" si="3"/>
        <v>0</v>
      </c>
      <c r="N19" s="240">
        <f t="shared" si="4"/>
        <v>100</v>
      </c>
      <c r="O19" s="240">
        <f t="shared" si="5"/>
        <v>100.70788492063491</v>
      </c>
      <c r="P19" s="240">
        <f t="shared" si="6"/>
        <v>99.999948775336492</v>
      </c>
      <c r="Q19" s="240">
        <f t="shared" si="7"/>
        <v>8.9200000000000728</v>
      </c>
      <c r="R19" s="240">
        <f t="shared" si="8"/>
        <v>100.70793650793652</v>
      </c>
    </row>
    <row r="20" spans="1:18" x14ac:dyDescent="0.2">
      <c r="A20" s="234"/>
      <c r="B20" s="235">
        <v>1</v>
      </c>
      <c r="C20" s="236">
        <v>2</v>
      </c>
      <c r="D20" s="237" t="s">
        <v>437</v>
      </c>
      <c r="E20" s="238">
        <v>121</v>
      </c>
      <c r="F20" s="239">
        <v>211</v>
      </c>
      <c r="G20" s="240"/>
      <c r="H20" s="240"/>
      <c r="I20" s="240">
        <v>990.55917999999997</v>
      </c>
      <c r="J20" s="240">
        <v>990.55917999999997</v>
      </c>
      <c r="K20" s="240"/>
      <c r="L20" s="240"/>
      <c r="M20" s="240">
        <f t="shared" si="3"/>
        <v>0</v>
      </c>
      <c r="N20" s="240"/>
      <c r="O20" s="240"/>
      <c r="P20" s="240"/>
      <c r="Q20" s="240"/>
      <c r="R20" s="240"/>
    </row>
    <row r="21" spans="1:18" x14ac:dyDescent="0.2">
      <c r="A21" s="234"/>
      <c r="B21" s="235">
        <v>1</v>
      </c>
      <c r="C21" s="236">
        <v>2</v>
      </c>
      <c r="D21" s="237" t="s">
        <v>437</v>
      </c>
      <c r="E21" s="238">
        <v>129</v>
      </c>
      <c r="F21" s="239">
        <v>213</v>
      </c>
      <c r="G21" s="240"/>
      <c r="H21" s="240"/>
      <c r="I21" s="240">
        <v>278.36016999999998</v>
      </c>
      <c r="J21" s="240">
        <v>278.36016999999998</v>
      </c>
      <c r="K21" s="240"/>
      <c r="L21" s="240"/>
      <c r="M21" s="240">
        <f t="shared" si="3"/>
        <v>0</v>
      </c>
      <c r="N21" s="240"/>
      <c r="O21" s="240"/>
      <c r="P21" s="240"/>
      <c r="Q21" s="240"/>
      <c r="R21" s="240"/>
    </row>
    <row r="22" spans="1:18" x14ac:dyDescent="0.2">
      <c r="A22" s="249" t="s">
        <v>293</v>
      </c>
      <c r="B22" s="250">
        <v>1</v>
      </c>
      <c r="C22" s="251">
        <v>4</v>
      </c>
      <c r="D22" s="252"/>
      <c r="E22" s="252"/>
      <c r="F22" s="253"/>
      <c r="G22" s="254">
        <f t="shared" ref="G22:J26" si="14">G23</f>
        <v>3809.8</v>
      </c>
      <c r="H22" s="254">
        <f t="shared" si="14"/>
        <v>4746.2</v>
      </c>
      <c r="I22" s="254">
        <f t="shared" si="14"/>
        <v>4746.2009600000001</v>
      </c>
      <c r="J22" s="254">
        <f t="shared" si="14"/>
        <v>4746.0521200000003</v>
      </c>
      <c r="K22" s="254">
        <f t="shared" si="1"/>
        <v>9.600000003047171E-4</v>
      </c>
      <c r="L22" s="254">
        <f t="shared" si="2"/>
        <v>100.00002022670769</v>
      </c>
      <c r="M22" s="254">
        <f t="shared" si="3"/>
        <v>0.14883999999983644</v>
      </c>
      <c r="N22" s="254">
        <f t="shared" si="4"/>
        <v>99.996864018164118</v>
      </c>
      <c r="O22" s="254">
        <f t="shared" si="5"/>
        <v>124.57483647435561</v>
      </c>
      <c r="P22" s="254">
        <f t="shared" si="6"/>
        <v>99.996884244237506</v>
      </c>
      <c r="Q22" s="254">
        <f t="shared" si="7"/>
        <v>936.39999999999964</v>
      </c>
      <c r="R22" s="254">
        <f t="shared" si="8"/>
        <v>124.57871804294187</v>
      </c>
    </row>
    <row r="23" spans="1:18" x14ac:dyDescent="0.2">
      <c r="A23" s="234" t="s">
        <v>428</v>
      </c>
      <c r="B23" s="235">
        <v>1</v>
      </c>
      <c r="C23" s="236">
        <v>4</v>
      </c>
      <c r="D23" s="238" t="s">
        <v>429</v>
      </c>
      <c r="E23" s="238"/>
      <c r="F23" s="239"/>
      <c r="G23" s="240">
        <f t="shared" si="14"/>
        <v>3809.8</v>
      </c>
      <c r="H23" s="240">
        <f t="shared" si="14"/>
        <v>4746.2</v>
      </c>
      <c r="I23" s="240">
        <f t="shared" si="14"/>
        <v>4746.2009600000001</v>
      </c>
      <c r="J23" s="240">
        <f t="shared" si="14"/>
        <v>4746.0521200000003</v>
      </c>
      <c r="K23" s="240">
        <f t="shared" si="1"/>
        <v>9.600000003047171E-4</v>
      </c>
      <c r="L23" s="240">
        <f t="shared" si="2"/>
        <v>100.00002022670769</v>
      </c>
      <c r="M23" s="240">
        <f t="shared" si="3"/>
        <v>0.14883999999983644</v>
      </c>
      <c r="N23" s="240">
        <f t="shared" si="4"/>
        <v>99.996864018164118</v>
      </c>
      <c r="O23" s="240">
        <f t="shared" si="5"/>
        <v>124.57483647435561</v>
      </c>
      <c r="P23" s="240">
        <f t="shared" si="6"/>
        <v>99.996884244237506</v>
      </c>
      <c r="Q23" s="240">
        <f t="shared" si="7"/>
        <v>936.39999999999964</v>
      </c>
      <c r="R23" s="240">
        <f t="shared" si="8"/>
        <v>124.57871804294187</v>
      </c>
    </row>
    <row r="24" spans="1:18" ht="33.75" x14ac:dyDescent="0.2">
      <c r="A24" s="234" t="s">
        <v>430</v>
      </c>
      <c r="B24" s="235">
        <v>1</v>
      </c>
      <c r="C24" s="236">
        <v>4</v>
      </c>
      <c r="D24" s="237" t="s">
        <v>431</v>
      </c>
      <c r="E24" s="238"/>
      <c r="F24" s="239"/>
      <c r="G24" s="240">
        <f t="shared" si="14"/>
        <v>3809.8</v>
      </c>
      <c r="H24" s="240">
        <f t="shared" si="14"/>
        <v>4746.2</v>
      </c>
      <c r="I24" s="240">
        <f t="shared" si="14"/>
        <v>4746.2009600000001</v>
      </c>
      <c r="J24" s="240">
        <f t="shared" si="14"/>
        <v>4746.0521200000003</v>
      </c>
      <c r="K24" s="240">
        <f t="shared" si="1"/>
        <v>9.600000003047171E-4</v>
      </c>
      <c r="L24" s="240">
        <f t="shared" si="2"/>
        <v>100.00002022670769</v>
      </c>
      <c r="M24" s="240">
        <f t="shared" si="3"/>
        <v>0.14883999999983644</v>
      </c>
      <c r="N24" s="240">
        <f t="shared" si="4"/>
        <v>99.996864018164118</v>
      </c>
      <c r="O24" s="240">
        <f t="shared" si="5"/>
        <v>124.57483647435561</v>
      </c>
      <c r="P24" s="240">
        <f t="shared" si="6"/>
        <v>99.996884244237506</v>
      </c>
      <c r="Q24" s="240">
        <f t="shared" si="7"/>
        <v>936.39999999999964</v>
      </c>
      <c r="R24" s="240">
        <f t="shared" si="8"/>
        <v>124.57871804294187</v>
      </c>
    </row>
    <row r="25" spans="1:18" ht="45.75" customHeight="1" x14ac:dyDescent="0.2">
      <c r="A25" s="241" t="s">
        <v>438</v>
      </c>
      <c r="B25" s="242">
        <v>1</v>
      </c>
      <c r="C25" s="243">
        <v>4</v>
      </c>
      <c r="D25" s="244" t="s">
        <v>439</v>
      </c>
      <c r="E25" s="245"/>
      <c r="F25" s="246"/>
      <c r="G25" s="247">
        <f t="shared" si="14"/>
        <v>3809.8</v>
      </c>
      <c r="H25" s="247">
        <f t="shared" si="14"/>
        <v>4746.2</v>
      </c>
      <c r="I25" s="247">
        <f t="shared" si="14"/>
        <v>4746.2009600000001</v>
      </c>
      <c r="J25" s="247">
        <f t="shared" si="14"/>
        <v>4746.0521200000003</v>
      </c>
      <c r="K25" s="247">
        <f t="shared" si="1"/>
        <v>9.600000003047171E-4</v>
      </c>
      <c r="L25" s="247">
        <f t="shared" si="2"/>
        <v>100.00002022670769</v>
      </c>
      <c r="M25" s="247">
        <f t="shared" si="3"/>
        <v>0.14883999999983644</v>
      </c>
      <c r="N25" s="247">
        <f t="shared" si="4"/>
        <v>99.996864018164118</v>
      </c>
      <c r="O25" s="247">
        <f t="shared" si="5"/>
        <v>124.57483647435561</v>
      </c>
      <c r="P25" s="247">
        <f t="shared" si="6"/>
        <v>99.996884244237506</v>
      </c>
      <c r="Q25" s="247">
        <f t="shared" si="7"/>
        <v>936.39999999999964</v>
      </c>
      <c r="R25" s="247">
        <f t="shared" si="8"/>
        <v>124.57871804294187</v>
      </c>
    </row>
    <row r="26" spans="1:18" ht="46.5" customHeight="1" x14ac:dyDescent="0.2">
      <c r="A26" s="248" t="s">
        <v>434</v>
      </c>
      <c r="B26" s="235">
        <v>1</v>
      </c>
      <c r="C26" s="236">
        <v>4</v>
      </c>
      <c r="D26" s="237" t="s">
        <v>439</v>
      </c>
      <c r="E26" s="238">
        <v>100</v>
      </c>
      <c r="F26" s="239"/>
      <c r="G26" s="240">
        <f t="shared" si="14"/>
        <v>3809.8</v>
      </c>
      <c r="H26" s="240">
        <f t="shared" si="14"/>
        <v>4746.2</v>
      </c>
      <c r="I26" s="240">
        <f>I27</f>
        <v>4746.2009600000001</v>
      </c>
      <c r="J26" s="240">
        <f>J27</f>
        <v>4746.0521200000003</v>
      </c>
      <c r="K26" s="240">
        <f t="shared" si="1"/>
        <v>9.600000003047171E-4</v>
      </c>
      <c r="L26" s="240">
        <f t="shared" si="2"/>
        <v>100.00002022670769</v>
      </c>
      <c r="M26" s="240">
        <f t="shared" si="3"/>
        <v>0.14883999999983644</v>
      </c>
      <c r="N26" s="240">
        <f t="shared" si="4"/>
        <v>99.996864018164118</v>
      </c>
      <c r="O26" s="240">
        <f t="shared" si="5"/>
        <v>124.57483647435561</v>
      </c>
      <c r="P26" s="240">
        <f t="shared" si="6"/>
        <v>99.996884244237506</v>
      </c>
      <c r="Q26" s="240">
        <f t="shared" si="7"/>
        <v>936.39999999999964</v>
      </c>
      <c r="R26" s="240">
        <f t="shared" si="8"/>
        <v>124.57871804294187</v>
      </c>
    </row>
    <row r="27" spans="1:18" ht="26.25" customHeight="1" x14ac:dyDescent="0.2">
      <c r="A27" s="234" t="s">
        <v>435</v>
      </c>
      <c r="B27" s="235">
        <v>1</v>
      </c>
      <c r="C27" s="236">
        <v>4</v>
      </c>
      <c r="D27" s="237" t="s">
        <v>439</v>
      </c>
      <c r="E27" s="238">
        <v>120</v>
      </c>
      <c r="F27" s="239"/>
      <c r="G27" s="240">
        <v>3809.8</v>
      </c>
      <c r="H27" s="240">
        <v>4746.2</v>
      </c>
      <c r="I27" s="240">
        <f>I28+I29</f>
        <v>4746.2009600000001</v>
      </c>
      <c r="J27" s="240">
        <f>J28+J29</f>
        <v>4746.0521200000003</v>
      </c>
      <c r="K27" s="240">
        <f t="shared" si="1"/>
        <v>9.600000003047171E-4</v>
      </c>
      <c r="L27" s="240">
        <f t="shared" si="2"/>
        <v>100.00002022670769</v>
      </c>
      <c r="M27" s="240">
        <f t="shared" si="3"/>
        <v>0.14883999999983644</v>
      </c>
      <c r="N27" s="240">
        <f t="shared" si="4"/>
        <v>99.996864018164118</v>
      </c>
      <c r="O27" s="240">
        <f t="shared" si="5"/>
        <v>124.57483647435561</v>
      </c>
      <c r="P27" s="240">
        <f t="shared" si="6"/>
        <v>99.996884244237506</v>
      </c>
      <c r="Q27" s="240">
        <f t="shared" si="7"/>
        <v>936.39999999999964</v>
      </c>
      <c r="R27" s="240">
        <f t="shared" si="8"/>
        <v>124.57871804294187</v>
      </c>
    </row>
    <row r="28" spans="1:18" x14ac:dyDescent="0.2">
      <c r="A28" s="234"/>
      <c r="B28" s="235">
        <v>1</v>
      </c>
      <c r="C28" s="236">
        <v>4</v>
      </c>
      <c r="D28" s="237" t="s">
        <v>439</v>
      </c>
      <c r="E28" s="238">
        <v>121</v>
      </c>
      <c r="F28" s="239">
        <v>211</v>
      </c>
      <c r="G28" s="240"/>
      <c r="H28" s="240"/>
      <c r="I28" s="240">
        <v>3559.46216</v>
      </c>
      <c r="J28" s="240">
        <v>3559.46216</v>
      </c>
      <c r="K28" s="240"/>
      <c r="L28" s="240"/>
      <c r="M28" s="240">
        <f t="shared" si="3"/>
        <v>0</v>
      </c>
      <c r="N28" s="240"/>
      <c r="O28" s="240"/>
      <c r="P28" s="240"/>
      <c r="Q28" s="240"/>
      <c r="R28" s="240"/>
    </row>
    <row r="29" spans="1:18" x14ac:dyDescent="0.2">
      <c r="A29" s="234"/>
      <c r="B29" s="235">
        <v>1</v>
      </c>
      <c r="C29" s="236">
        <v>4</v>
      </c>
      <c r="D29" s="237" t="s">
        <v>439</v>
      </c>
      <c r="E29" s="238">
        <v>129</v>
      </c>
      <c r="F29" s="239">
        <v>213</v>
      </c>
      <c r="G29" s="240"/>
      <c r="H29" s="240"/>
      <c r="I29" s="240">
        <v>1186.7388000000001</v>
      </c>
      <c r="J29" s="240">
        <v>1186.58996</v>
      </c>
      <c r="K29" s="240"/>
      <c r="L29" s="240"/>
      <c r="M29" s="240">
        <f t="shared" si="3"/>
        <v>0.14884000000006381</v>
      </c>
      <c r="N29" s="240"/>
      <c r="O29" s="240"/>
      <c r="P29" s="240"/>
      <c r="Q29" s="240"/>
      <c r="R29" s="240"/>
    </row>
    <row r="30" spans="1:18" ht="15" customHeight="1" x14ac:dyDescent="0.2">
      <c r="A30" s="249" t="s">
        <v>291</v>
      </c>
      <c r="B30" s="250">
        <v>1</v>
      </c>
      <c r="C30" s="251">
        <v>7</v>
      </c>
      <c r="D30" s="255"/>
      <c r="E30" s="252"/>
      <c r="F30" s="253"/>
      <c r="G30" s="254">
        <f t="shared" ref="G30:J32" si="15">G31</f>
        <v>529.1</v>
      </c>
      <c r="H30" s="254">
        <f t="shared" si="15"/>
        <v>529.1</v>
      </c>
      <c r="I30" s="254">
        <f t="shared" si="15"/>
        <v>529.1</v>
      </c>
      <c r="J30" s="254">
        <f t="shared" si="15"/>
        <v>529.1</v>
      </c>
      <c r="K30" s="254">
        <f t="shared" si="1"/>
        <v>0</v>
      </c>
      <c r="L30" s="254">
        <f t="shared" si="2"/>
        <v>100</v>
      </c>
      <c r="M30" s="254">
        <f t="shared" si="3"/>
        <v>0</v>
      </c>
      <c r="N30" s="254">
        <f t="shared" si="4"/>
        <v>100</v>
      </c>
      <c r="O30" s="254">
        <f t="shared" si="5"/>
        <v>100</v>
      </c>
      <c r="P30" s="254">
        <f t="shared" si="6"/>
        <v>100</v>
      </c>
      <c r="Q30" s="254">
        <f t="shared" si="7"/>
        <v>0</v>
      </c>
      <c r="R30" s="254">
        <f t="shared" si="8"/>
        <v>100</v>
      </c>
    </row>
    <row r="31" spans="1:18" ht="45" x14ac:dyDescent="0.2">
      <c r="A31" s="241" t="s">
        <v>440</v>
      </c>
      <c r="B31" s="242">
        <v>1</v>
      </c>
      <c r="C31" s="243">
        <v>7</v>
      </c>
      <c r="D31" s="244" t="s">
        <v>441</v>
      </c>
      <c r="E31" s="245"/>
      <c r="F31" s="246"/>
      <c r="G31" s="247">
        <f t="shared" si="15"/>
        <v>529.1</v>
      </c>
      <c r="H31" s="247">
        <f t="shared" si="15"/>
        <v>529.1</v>
      </c>
      <c r="I31" s="247">
        <f>I32+I34</f>
        <v>529.1</v>
      </c>
      <c r="J31" s="247">
        <f>J32+J34</f>
        <v>529.1</v>
      </c>
      <c r="K31" s="247">
        <f t="shared" si="1"/>
        <v>0</v>
      </c>
      <c r="L31" s="247">
        <f t="shared" si="2"/>
        <v>100</v>
      </c>
      <c r="M31" s="247">
        <f t="shared" si="3"/>
        <v>0</v>
      </c>
      <c r="N31" s="247">
        <f t="shared" si="4"/>
        <v>100</v>
      </c>
      <c r="O31" s="247">
        <f t="shared" si="5"/>
        <v>100</v>
      </c>
      <c r="P31" s="247">
        <f t="shared" si="6"/>
        <v>100</v>
      </c>
      <c r="Q31" s="247">
        <f t="shared" si="7"/>
        <v>0</v>
      </c>
      <c r="R31" s="247">
        <f t="shared" si="8"/>
        <v>100</v>
      </c>
    </row>
    <row r="32" spans="1:18" ht="24" customHeight="1" x14ac:dyDescent="0.2">
      <c r="A32" s="234" t="s">
        <v>442</v>
      </c>
      <c r="B32" s="235">
        <v>1</v>
      </c>
      <c r="C32" s="236">
        <v>7</v>
      </c>
      <c r="D32" s="237" t="s">
        <v>441</v>
      </c>
      <c r="E32" s="238">
        <v>200</v>
      </c>
      <c r="F32" s="239"/>
      <c r="G32" s="240">
        <f t="shared" si="15"/>
        <v>529.1</v>
      </c>
      <c r="H32" s="240">
        <f t="shared" si="15"/>
        <v>529.1</v>
      </c>
      <c r="I32" s="240">
        <f t="shared" si="15"/>
        <v>0</v>
      </c>
      <c r="J32" s="240">
        <f t="shared" si="15"/>
        <v>0</v>
      </c>
      <c r="K32" s="240">
        <f t="shared" si="1"/>
        <v>-529.1</v>
      </c>
      <c r="L32" s="240">
        <f t="shared" si="2"/>
        <v>0</v>
      </c>
      <c r="M32" s="240">
        <f t="shared" si="3"/>
        <v>0</v>
      </c>
      <c r="N32" s="240">
        <v>0</v>
      </c>
      <c r="O32" s="240">
        <f t="shared" si="5"/>
        <v>0</v>
      </c>
      <c r="P32" s="240">
        <f t="shared" si="6"/>
        <v>0</v>
      </c>
      <c r="Q32" s="240">
        <f t="shared" si="7"/>
        <v>0</v>
      </c>
      <c r="R32" s="240">
        <f t="shared" si="8"/>
        <v>100</v>
      </c>
    </row>
    <row r="33" spans="1:18" ht="33.75" x14ac:dyDescent="0.2">
      <c r="A33" s="234" t="s">
        <v>443</v>
      </c>
      <c r="B33" s="235">
        <v>1</v>
      </c>
      <c r="C33" s="236">
        <v>7</v>
      </c>
      <c r="D33" s="237" t="s">
        <v>441</v>
      </c>
      <c r="E33" s="238">
        <v>240</v>
      </c>
      <c r="F33" s="239"/>
      <c r="G33" s="240">
        <v>529.1</v>
      </c>
      <c r="H33" s="240">
        <v>529.1</v>
      </c>
      <c r="I33" s="240"/>
      <c r="J33" s="240"/>
      <c r="K33" s="240">
        <f t="shared" si="1"/>
        <v>-529.1</v>
      </c>
      <c r="L33" s="240">
        <f t="shared" si="2"/>
        <v>0</v>
      </c>
      <c r="M33" s="240">
        <f t="shared" si="3"/>
        <v>0</v>
      </c>
      <c r="N33" s="240">
        <v>0</v>
      </c>
      <c r="O33" s="240">
        <f t="shared" si="5"/>
        <v>0</v>
      </c>
      <c r="P33" s="240">
        <f t="shared" si="6"/>
        <v>0</v>
      </c>
      <c r="Q33" s="240">
        <f t="shared" si="7"/>
        <v>0</v>
      </c>
      <c r="R33" s="240">
        <f t="shared" si="8"/>
        <v>100</v>
      </c>
    </row>
    <row r="34" spans="1:18" x14ac:dyDescent="0.2">
      <c r="A34" s="234"/>
      <c r="B34" s="235">
        <v>1</v>
      </c>
      <c r="C34" s="236">
        <v>7</v>
      </c>
      <c r="D34" s="237" t="s">
        <v>441</v>
      </c>
      <c r="E34" s="238">
        <v>880</v>
      </c>
      <c r="F34" s="239"/>
      <c r="G34" s="240"/>
      <c r="H34" s="240"/>
      <c r="I34" s="240">
        <v>529.1</v>
      </c>
      <c r="J34" s="240">
        <v>529.1</v>
      </c>
      <c r="K34" s="240">
        <f t="shared" si="1"/>
        <v>529.1</v>
      </c>
      <c r="L34" s="240">
        <v>0</v>
      </c>
      <c r="M34" s="240">
        <f t="shared" si="3"/>
        <v>0</v>
      </c>
      <c r="N34" s="240">
        <f t="shared" ref="N34" si="16">J34/I34*100</f>
        <v>100</v>
      </c>
      <c r="O34" s="240">
        <v>0</v>
      </c>
      <c r="P34" s="240">
        <v>0</v>
      </c>
      <c r="Q34" s="240">
        <f t="shared" si="7"/>
        <v>0</v>
      </c>
      <c r="R34" s="240">
        <v>0</v>
      </c>
    </row>
    <row r="35" spans="1:18" ht="15" customHeight="1" x14ac:dyDescent="0.2">
      <c r="A35" s="249" t="s">
        <v>290</v>
      </c>
      <c r="B35" s="250">
        <v>1</v>
      </c>
      <c r="C35" s="251">
        <v>11</v>
      </c>
      <c r="D35" s="255"/>
      <c r="E35" s="252"/>
      <c r="F35" s="253"/>
      <c r="G35" s="254">
        <f>G37</f>
        <v>64</v>
      </c>
      <c r="H35" s="254">
        <f>H37</f>
        <v>0</v>
      </c>
      <c r="I35" s="254">
        <f t="shared" ref="I35:J35" si="17">I37</f>
        <v>0</v>
      </c>
      <c r="J35" s="254">
        <f t="shared" si="17"/>
        <v>0</v>
      </c>
      <c r="K35" s="254">
        <f t="shared" si="1"/>
        <v>0</v>
      </c>
      <c r="L35" s="254">
        <v>0</v>
      </c>
      <c r="M35" s="254">
        <f t="shared" si="3"/>
        <v>0</v>
      </c>
      <c r="N35" s="254">
        <v>0</v>
      </c>
      <c r="O35" s="254">
        <f t="shared" si="5"/>
        <v>0</v>
      </c>
      <c r="P35" s="254">
        <v>0</v>
      </c>
      <c r="Q35" s="254">
        <f t="shared" si="7"/>
        <v>-64</v>
      </c>
      <c r="R35" s="254">
        <f t="shared" si="8"/>
        <v>0</v>
      </c>
    </row>
    <row r="36" spans="1:18" x14ac:dyDescent="0.2">
      <c r="A36" s="234" t="s">
        <v>428</v>
      </c>
      <c r="B36" s="235">
        <v>1</v>
      </c>
      <c r="C36" s="236">
        <v>11</v>
      </c>
      <c r="D36" s="237" t="s">
        <v>429</v>
      </c>
      <c r="E36" s="238"/>
      <c r="F36" s="239"/>
      <c r="G36" s="240">
        <f t="shared" ref="G36:J39" si="18">G37</f>
        <v>64</v>
      </c>
      <c r="H36" s="240">
        <f t="shared" si="18"/>
        <v>0</v>
      </c>
      <c r="I36" s="240">
        <f t="shared" si="18"/>
        <v>0</v>
      </c>
      <c r="J36" s="240">
        <f t="shared" si="18"/>
        <v>0</v>
      </c>
      <c r="K36" s="240">
        <f t="shared" si="1"/>
        <v>0</v>
      </c>
      <c r="L36" s="240">
        <v>0</v>
      </c>
      <c r="M36" s="240">
        <f t="shared" si="3"/>
        <v>0</v>
      </c>
      <c r="N36" s="240">
        <v>0</v>
      </c>
      <c r="O36" s="240">
        <f t="shared" si="5"/>
        <v>0</v>
      </c>
      <c r="P36" s="240">
        <v>0</v>
      </c>
      <c r="Q36" s="240">
        <f t="shared" si="7"/>
        <v>-64</v>
      </c>
      <c r="R36" s="240">
        <f t="shared" si="8"/>
        <v>0</v>
      </c>
    </row>
    <row r="37" spans="1:18" ht="24.75" customHeight="1" x14ac:dyDescent="0.2">
      <c r="A37" s="256" t="s">
        <v>444</v>
      </c>
      <c r="B37" s="235">
        <v>1</v>
      </c>
      <c r="C37" s="236">
        <v>11</v>
      </c>
      <c r="D37" s="237" t="s">
        <v>445</v>
      </c>
      <c r="E37" s="238"/>
      <c r="F37" s="239"/>
      <c r="G37" s="240">
        <f t="shared" si="18"/>
        <v>64</v>
      </c>
      <c r="H37" s="240">
        <f t="shared" si="18"/>
        <v>0</v>
      </c>
      <c r="I37" s="240">
        <f t="shared" si="18"/>
        <v>0</v>
      </c>
      <c r="J37" s="240">
        <f t="shared" si="18"/>
        <v>0</v>
      </c>
      <c r="K37" s="240">
        <f t="shared" si="1"/>
        <v>0</v>
      </c>
      <c r="L37" s="240">
        <v>0</v>
      </c>
      <c r="M37" s="240">
        <f t="shared" si="3"/>
        <v>0</v>
      </c>
      <c r="N37" s="240">
        <v>0</v>
      </c>
      <c r="O37" s="240">
        <f t="shared" si="5"/>
        <v>0</v>
      </c>
      <c r="P37" s="240">
        <v>0</v>
      </c>
      <c r="Q37" s="240">
        <f t="shared" si="7"/>
        <v>-64</v>
      </c>
      <c r="R37" s="240">
        <f t="shared" si="8"/>
        <v>0</v>
      </c>
    </row>
    <row r="38" spans="1:18" ht="21.75" customHeight="1" x14ac:dyDescent="0.2">
      <c r="A38" s="234" t="s">
        <v>446</v>
      </c>
      <c r="B38" s="235">
        <v>1</v>
      </c>
      <c r="C38" s="236">
        <v>11</v>
      </c>
      <c r="D38" s="237" t="s">
        <v>447</v>
      </c>
      <c r="E38" s="238"/>
      <c r="F38" s="239"/>
      <c r="G38" s="240">
        <f t="shared" si="18"/>
        <v>64</v>
      </c>
      <c r="H38" s="240">
        <f t="shared" si="18"/>
        <v>0</v>
      </c>
      <c r="I38" s="240">
        <f t="shared" si="18"/>
        <v>0</v>
      </c>
      <c r="J38" s="240">
        <f t="shared" si="18"/>
        <v>0</v>
      </c>
      <c r="K38" s="240">
        <f t="shared" si="1"/>
        <v>0</v>
      </c>
      <c r="L38" s="240">
        <v>0</v>
      </c>
      <c r="M38" s="240">
        <f t="shared" si="3"/>
        <v>0</v>
      </c>
      <c r="N38" s="240">
        <v>0</v>
      </c>
      <c r="O38" s="240">
        <f t="shared" si="5"/>
        <v>0</v>
      </c>
      <c r="P38" s="240">
        <v>0</v>
      </c>
      <c r="Q38" s="240">
        <f t="shared" si="7"/>
        <v>-64</v>
      </c>
      <c r="R38" s="240">
        <f t="shared" si="8"/>
        <v>0</v>
      </c>
    </row>
    <row r="39" spans="1:18" x14ac:dyDescent="0.2">
      <c r="A39" s="234" t="s">
        <v>448</v>
      </c>
      <c r="B39" s="235">
        <v>1</v>
      </c>
      <c r="C39" s="236">
        <v>11</v>
      </c>
      <c r="D39" s="237" t="s">
        <v>447</v>
      </c>
      <c r="E39" s="238">
        <v>800</v>
      </c>
      <c r="F39" s="239"/>
      <c r="G39" s="240">
        <f t="shared" si="18"/>
        <v>64</v>
      </c>
      <c r="H39" s="240">
        <f t="shared" si="18"/>
        <v>0</v>
      </c>
      <c r="I39" s="240">
        <f t="shared" si="18"/>
        <v>0</v>
      </c>
      <c r="J39" s="240">
        <f t="shared" si="18"/>
        <v>0</v>
      </c>
      <c r="K39" s="240">
        <f t="shared" si="1"/>
        <v>0</v>
      </c>
      <c r="L39" s="240">
        <v>0</v>
      </c>
      <c r="M39" s="240">
        <f t="shared" si="3"/>
        <v>0</v>
      </c>
      <c r="N39" s="240">
        <v>0</v>
      </c>
      <c r="O39" s="240">
        <f t="shared" si="5"/>
        <v>0</v>
      </c>
      <c r="P39" s="240">
        <v>0</v>
      </c>
      <c r="Q39" s="240">
        <f t="shared" si="7"/>
        <v>-64</v>
      </c>
      <c r="R39" s="240">
        <f t="shared" si="8"/>
        <v>0</v>
      </c>
    </row>
    <row r="40" spans="1:18" x14ac:dyDescent="0.2">
      <c r="A40" s="234" t="s">
        <v>449</v>
      </c>
      <c r="B40" s="235">
        <v>1</v>
      </c>
      <c r="C40" s="236">
        <v>11</v>
      </c>
      <c r="D40" s="237" t="s">
        <v>447</v>
      </c>
      <c r="E40" s="238">
        <v>870</v>
      </c>
      <c r="F40" s="239"/>
      <c r="G40" s="240">
        <v>64</v>
      </c>
      <c r="H40" s="240">
        <v>0</v>
      </c>
      <c r="I40" s="240">
        <v>0</v>
      </c>
      <c r="J40" s="240">
        <v>0</v>
      </c>
      <c r="K40" s="240">
        <f t="shared" si="1"/>
        <v>0</v>
      </c>
      <c r="L40" s="240">
        <v>0</v>
      </c>
      <c r="M40" s="240">
        <f t="shared" si="3"/>
        <v>0</v>
      </c>
      <c r="N40" s="240">
        <v>0</v>
      </c>
      <c r="O40" s="240">
        <f t="shared" si="5"/>
        <v>0</v>
      </c>
      <c r="P40" s="240">
        <v>0</v>
      </c>
      <c r="Q40" s="240">
        <f t="shared" si="7"/>
        <v>-64</v>
      </c>
      <c r="R40" s="240">
        <f t="shared" si="8"/>
        <v>0</v>
      </c>
    </row>
    <row r="41" spans="1:18" x14ac:dyDescent="0.2">
      <c r="A41" s="249" t="s">
        <v>288</v>
      </c>
      <c r="B41" s="250">
        <v>1</v>
      </c>
      <c r="C41" s="251">
        <v>13</v>
      </c>
      <c r="D41" s="252"/>
      <c r="E41" s="252"/>
      <c r="F41" s="253"/>
      <c r="G41" s="254">
        <f>G42</f>
        <v>3247.8</v>
      </c>
      <c r="H41" s="254">
        <f>H42</f>
        <v>4638.8499999999995</v>
      </c>
      <c r="I41" s="254">
        <f t="shared" ref="I41:J42" si="19">I42</f>
        <v>4638.8525600000012</v>
      </c>
      <c r="J41" s="254">
        <f t="shared" si="19"/>
        <v>4638.8525600000012</v>
      </c>
      <c r="K41" s="254">
        <f t="shared" si="1"/>
        <v>2.5600000017220736E-3</v>
      </c>
      <c r="L41" s="254">
        <f t="shared" si="2"/>
        <v>100.0000551860914</v>
      </c>
      <c r="M41" s="254">
        <f t="shared" si="3"/>
        <v>0</v>
      </c>
      <c r="N41" s="254">
        <f t="shared" si="4"/>
        <v>100</v>
      </c>
      <c r="O41" s="254">
        <f t="shared" si="5"/>
        <v>142.83061025925247</v>
      </c>
      <c r="P41" s="254">
        <f t="shared" si="6"/>
        <v>100.0000551860914</v>
      </c>
      <c r="Q41" s="254">
        <f t="shared" si="7"/>
        <v>1391.0499999999993</v>
      </c>
      <c r="R41" s="254">
        <f t="shared" si="8"/>
        <v>142.83053143666478</v>
      </c>
    </row>
    <row r="42" spans="1:18" x14ac:dyDescent="0.2">
      <c r="A42" s="234" t="s">
        <v>428</v>
      </c>
      <c r="B42" s="235">
        <v>1</v>
      </c>
      <c r="C42" s="236">
        <v>13</v>
      </c>
      <c r="D42" s="237" t="s">
        <v>429</v>
      </c>
      <c r="E42" s="238"/>
      <c r="F42" s="239"/>
      <c r="G42" s="240">
        <f>G43</f>
        <v>3247.8</v>
      </c>
      <c r="H42" s="240">
        <f>H43</f>
        <v>4638.8499999999995</v>
      </c>
      <c r="I42" s="240">
        <f t="shared" si="19"/>
        <v>4638.8525600000012</v>
      </c>
      <c r="J42" s="240">
        <f t="shared" si="19"/>
        <v>4638.8525600000012</v>
      </c>
      <c r="K42" s="240">
        <f t="shared" si="1"/>
        <v>2.5600000017220736E-3</v>
      </c>
      <c r="L42" s="240">
        <f t="shared" si="2"/>
        <v>100.0000551860914</v>
      </c>
      <c r="M42" s="240">
        <f t="shared" si="3"/>
        <v>0</v>
      </c>
      <c r="N42" s="240">
        <f t="shared" si="4"/>
        <v>100</v>
      </c>
      <c r="O42" s="240">
        <f t="shared" si="5"/>
        <v>142.83061025925247</v>
      </c>
      <c r="P42" s="240">
        <f t="shared" si="6"/>
        <v>100.0000551860914</v>
      </c>
      <c r="Q42" s="240">
        <f t="shared" si="7"/>
        <v>1391.0499999999993</v>
      </c>
      <c r="R42" s="240">
        <f t="shared" si="8"/>
        <v>142.83053143666478</v>
      </c>
    </row>
    <row r="43" spans="1:18" ht="33.75" x14ac:dyDescent="0.2">
      <c r="A43" s="234" t="s">
        <v>430</v>
      </c>
      <c r="B43" s="235">
        <v>1</v>
      </c>
      <c r="C43" s="236">
        <v>13</v>
      </c>
      <c r="D43" s="237" t="s">
        <v>431</v>
      </c>
      <c r="E43" s="238"/>
      <c r="F43" s="239"/>
      <c r="G43" s="240">
        <f>G44+G49+G70</f>
        <v>3247.8</v>
      </c>
      <c r="H43" s="240">
        <f>H44+H49+H70</f>
        <v>4638.8499999999995</v>
      </c>
      <c r="I43" s="240">
        <f t="shared" ref="I43:J43" si="20">I44+I49+I70</f>
        <v>4638.8525600000012</v>
      </c>
      <c r="J43" s="240">
        <f t="shared" si="20"/>
        <v>4638.8525600000012</v>
      </c>
      <c r="K43" s="240">
        <f t="shared" si="1"/>
        <v>2.5600000017220736E-3</v>
      </c>
      <c r="L43" s="240">
        <f t="shared" si="2"/>
        <v>100.0000551860914</v>
      </c>
      <c r="M43" s="240">
        <f t="shared" si="3"/>
        <v>0</v>
      </c>
      <c r="N43" s="240">
        <f t="shared" si="4"/>
        <v>100</v>
      </c>
      <c r="O43" s="240">
        <f t="shared" si="5"/>
        <v>142.83061025925247</v>
      </c>
      <c r="P43" s="240">
        <f t="shared" si="6"/>
        <v>100.0000551860914</v>
      </c>
      <c r="Q43" s="240">
        <f t="shared" si="7"/>
        <v>1391.0499999999993</v>
      </c>
      <c r="R43" s="240">
        <f t="shared" si="8"/>
        <v>142.83053143666478</v>
      </c>
    </row>
    <row r="44" spans="1:18" ht="22.5" customHeight="1" x14ac:dyDescent="0.2">
      <c r="A44" s="241" t="s">
        <v>450</v>
      </c>
      <c r="B44" s="242">
        <v>1</v>
      </c>
      <c r="C44" s="243">
        <v>13</v>
      </c>
      <c r="D44" s="244" t="s">
        <v>451</v>
      </c>
      <c r="E44" s="245"/>
      <c r="F44" s="246"/>
      <c r="G44" s="247">
        <f>G45</f>
        <v>102</v>
      </c>
      <c r="H44" s="247">
        <f>H45</f>
        <v>400.9</v>
      </c>
      <c r="I44" s="247">
        <f t="shared" ref="I44:J45" si="21">I45</f>
        <v>400.90106000000003</v>
      </c>
      <c r="J44" s="247">
        <f t="shared" si="21"/>
        <v>400.90106000000003</v>
      </c>
      <c r="K44" s="247">
        <f t="shared" si="1"/>
        <v>1.0600000000522414E-3</v>
      </c>
      <c r="L44" s="247">
        <f t="shared" si="2"/>
        <v>100.00026440508856</v>
      </c>
      <c r="M44" s="247">
        <f t="shared" si="3"/>
        <v>0</v>
      </c>
      <c r="N44" s="247">
        <f t="shared" si="4"/>
        <v>100</v>
      </c>
      <c r="O44" s="247">
        <f t="shared" si="5"/>
        <v>393.04025490196079</v>
      </c>
      <c r="P44" s="247">
        <f t="shared" si="6"/>
        <v>100.00026440508856</v>
      </c>
      <c r="Q44" s="247">
        <f t="shared" si="7"/>
        <v>298.89999999999998</v>
      </c>
      <c r="R44" s="247">
        <f t="shared" si="8"/>
        <v>393.03921568627447</v>
      </c>
    </row>
    <row r="45" spans="1:18" ht="22.5" customHeight="1" x14ac:dyDescent="0.2">
      <c r="A45" s="234" t="s">
        <v>442</v>
      </c>
      <c r="B45" s="235">
        <v>1</v>
      </c>
      <c r="C45" s="236">
        <v>13</v>
      </c>
      <c r="D45" s="237" t="s">
        <v>451</v>
      </c>
      <c r="E45" s="238">
        <v>200</v>
      </c>
      <c r="F45" s="239"/>
      <c r="G45" s="240">
        <f>G46</f>
        <v>102</v>
      </c>
      <c r="H45" s="240">
        <f>H46</f>
        <v>400.9</v>
      </c>
      <c r="I45" s="240">
        <f t="shared" si="21"/>
        <v>400.90106000000003</v>
      </c>
      <c r="J45" s="240">
        <f t="shared" si="21"/>
        <v>400.90106000000003</v>
      </c>
      <c r="K45" s="240">
        <f t="shared" si="1"/>
        <v>1.0600000000522414E-3</v>
      </c>
      <c r="L45" s="240">
        <f t="shared" si="2"/>
        <v>100.00026440508856</v>
      </c>
      <c r="M45" s="240">
        <f t="shared" si="3"/>
        <v>0</v>
      </c>
      <c r="N45" s="240">
        <f t="shared" si="4"/>
        <v>100</v>
      </c>
      <c r="O45" s="240">
        <f t="shared" si="5"/>
        <v>393.04025490196079</v>
      </c>
      <c r="P45" s="240">
        <f t="shared" si="6"/>
        <v>100.00026440508856</v>
      </c>
      <c r="Q45" s="240">
        <f t="shared" si="7"/>
        <v>298.89999999999998</v>
      </c>
      <c r="R45" s="240">
        <f t="shared" si="8"/>
        <v>393.03921568627447</v>
      </c>
    </row>
    <row r="46" spans="1:18" ht="33.75" x14ac:dyDescent="0.2">
      <c r="A46" s="234" t="s">
        <v>443</v>
      </c>
      <c r="B46" s="235">
        <v>1</v>
      </c>
      <c r="C46" s="236">
        <v>13</v>
      </c>
      <c r="D46" s="237" t="s">
        <v>451</v>
      </c>
      <c r="E46" s="238">
        <v>240</v>
      </c>
      <c r="F46" s="239"/>
      <c r="G46" s="240">
        <v>102</v>
      </c>
      <c r="H46" s="240">
        <v>400.9</v>
      </c>
      <c r="I46" s="240">
        <f>I47+I48</f>
        <v>400.90106000000003</v>
      </c>
      <c r="J46" s="240">
        <f>J47+J48</f>
        <v>400.90106000000003</v>
      </c>
      <c r="K46" s="240">
        <f t="shared" si="1"/>
        <v>1.0600000000522414E-3</v>
      </c>
      <c r="L46" s="240">
        <f t="shared" si="2"/>
        <v>100.00026440508856</v>
      </c>
      <c r="M46" s="240">
        <f t="shared" si="3"/>
        <v>0</v>
      </c>
      <c r="N46" s="240">
        <f t="shared" si="4"/>
        <v>100</v>
      </c>
      <c r="O46" s="240">
        <f t="shared" si="5"/>
        <v>393.04025490196079</v>
      </c>
      <c r="P46" s="240">
        <f t="shared" si="6"/>
        <v>100.00026440508856</v>
      </c>
      <c r="Q46" s="240">
        <f t="shared" si="7"/>
        <v>298.89999999999998</v>
      </c>
      <c r="R46" s="240">
        <f t="shared" si="8"/>
        <v>393.03921568627447</v>
      </c>
    </row>
    <row r="47" spans="1:18" x14ac:dyDescent="0.2">
      <c r="A47" s="234"/>
      <c r="B47" s="235">
        <v>1</v>
      </c>
      <c r="C47" s="236">
        <v>13</v>
      </c>
      <c r="D47" s="237" t="s">
        <v>451</v>
      </c>
      <c r="E47" s="238">
        <v>244</v>
      </c>
      <c r="F47" s="239">
        <v>225</v>
      </c>
      <c r="G47" s="240"/>
      <c r="H47" s="240"/>
      <c r="I47" s="240">
        <v>281.60106000000002</v>
      </c>
      <c r="J47" s="240">
        <v>281.60106000000002</v>
      </c>
      <c r="K47" s="240"/>
      <c r="L47" s="240"/>
      <c r="M47" s="240">
        <f t="shared" si="3"/>
        <v>0</v>
      </c>
      <c r="N47" s="240"/>
      <c r="O47" s="240"/>
      <c r="P47" s="240"/>
      <c r="Q47" s="240"/>
      <c r="R47" s="240"/>
    </row>
    <row r="48" spans="1:18" x14ac:dyDescent="0.2">
      <c r="A48" s="234"/>
      <c r="B48" s="235">
        <v>1</v>
      </c>
      <c r="C48" s="236">
        <v>13</v>
      </c>
      <c r="D48" s="237" t="s">
        <v>451</v>
      </c>
      <c r="E48" s="238">
        <v>244</v>
      </c>
      <c r="F48" s="239">
        <v>226</v>
      </c>
      <c r="G48" s="240"/>
      <c r="H48" s="240"/>
      <c r="I48" s="240">
        <v>119.3</v>
      </c>
      <c r="J48" s="240">
        <v>119.3</v>
      </c>
      <c r="K48" s="240"/>
      <c r="L48" s="240"/>
      <c r="M48" s="240">
        <f t="shared" si="3"/>
        <v>0</v>
      </c>
      <c r="N48" s="240"/>
      <c r="O48" s="240"/>
      <c r="P48" s="240"/>
      <c r="Q48" s="240"/>
      <c r="R48" s="240"/>
    </row>
    <row r="49" spans="1:18" ht="45" x14ac:dyDescent="0.2">
      <c r="A49" s="241" t="s">
        <v>440</v>
      </c>
      <c r="B49" s="242">
        <v>1</v>
      </c>
      <c r="C49" s="243">
        <v>13</v>
      </c>
      <c r="D49" s="244" t="s">
        <v>441</v>
      </c>
      <c r="E49" s="245"/>
      <c r="F49" s="246"/>
      <c r="G49" s="247">
        <f>G52+G64+G50+G62</f>
        <v>3145.8</v>
      </c>
      <c r="H49" s="247">
        <f>H52+H64+H50+H62</f>
        <v>4193.45</v>
      </c>
      <c r="I49" s="247">
        <f t="shared" ref="I49:J49" si="22">I52+I64+I50+I62</f>
        <v>4193.453120000001</v>
      </c>
      <c r="J49" s="247">
        <f t="shared" si="22"/>
        <v>4193.453120000001</v>
      </c>
      <c r="K49" s="247">
        <f t="shared" si="1"/>
        <v>3.1200000012177043E-3</v>
      </c>
      <c r="L49" s="247">
        <f t="shared" si="2"/>
        <v>100.00007440174561</v>
      </c>
      <c r="M49" s="247">
        <f t="shared" si="3"/>
        <v>0</v>
      </c>
      <c r="N49" s="247">
        <f t="shared" si="4"/>
        <v>100</v>
      </c>
      <c r="O49" s="247">
        <f t="shared" si="5"/>
        <v>133.30323351770616</v>
      </c>
      <c r="P49" s="247">
        <f t="shared" si="6"/>
        <v>100.00007440174561</v>
      </c>
      <c r="Q49" s="247">
        <f t="shared" si="7"/>
        <v>1047.6499999999996</v>
      </c>
      <c r="R49" s="247">
        <f t="shared" si="8"/>
        <v>133.3031343378473</v>
      </c>
    </row>
    <row r="50" spans="1:18" ht="46.5" customHeight="1" x14ac:dyDescent="0.2">
      <c r="A50" s="248" t="s">
        <v>434</v>
      </c>
      <c r="B50" s="235">
        <v>1</v>
      </c>
      <c r="C50" s="236">
        <v>13</v>
      </c>
      <c r="D50" s="257" t="s">
        <v>441</v>
      </c>
      <c r="E50" s="238">
        <v>100</v>
      </c>
      <c r="F50" s="239"/>
      <c r="G50" s="240">
        <f>G51</f>
        <v>130</v>
      </c>
      <c r="H50" s="240">
        <f>H51</f>
        <v>102.53</v>
      </c>
      <c r="I50" s="240">
        <f t="shared" ref="I50:J50" si="23">I51</f>
        <v>102.52857</v>
      </c>
      <c r="J50" s="240">
        <f t="shared" si="23"/>
        <v>102.52857</v>
      </c>
      <c r="K50" s="240">
        <f t="shared" si="1"/>
        <v>-1.4299999999991542E-3</v>
      </c>
      <c r="L50" s="240">
        <f t="shared" si="2"/>
        <v>99.998605286257686</v>
      </c>
      <c r="M50" s="240">
        <f t="shared" si="3"/>
        <v>0</v>
      </c>
      <c r="N50" s="240">
        <f t="shared" si="4"/>
        <v>100</v>
      </c>
      <c r="O50" s="240">
        <f t="shared" si="5"/>
        <v>78.868130769230774</v>
      </c>
      <c r="P50" s="240">
        <f t="shared" si="6"/>
        <v>99.998605286257686</v>
      </c>
      <c r="Q50" s="240">
        <f t="shared" si="7"/>
        <v>-27.47</v>
      </c>
      <c r="R50" s="240">
        <f t="shared" si="8"/>
        <v>78.869230769230768</v>
      </c>
    </row>
    <row r="51" spans="1:18" ht="22.5" x14ac:dyDescent="0.2">
      <c r="A51" s="234" t="s">
        <v>435</v>
      </c>
      <c r="B51" s="235">
        <v>1</v>
      </c>
      <c r="C51" s="236">
        <v>13</v>
      </c>
      <c r="D51" s="257" t="s">
        <v>441</v>
      </c>
      <c r="E51" s="238">
        <v>122</v>
      </c>
      <c r="F51" s="239">
        <v>212</v>
      </c>
      <c r="G51" s="240">
        <v>130</v>
      </c>
      <c r="H51" s="240">
        <v>102.53</v>
      </c>
      <c r="I51" s="240">
        <v>102.52857</v>
      </c>
      <c r="J51" s="240">
        <v>102.52857</v>
      </c>
      <c r="K51" s="240">
        <f t="shared" si="1"/>
        <v>-1.4299999999991542E-3</v>
      </c>
      <c r="L51" s="240">
        <f t="shared" si="2"/>
        <v>99.998605286257686</v>
      </c>
      <c r="M51" s="240">
        <f t="shared" si="3"/>
        <v>0</v>
      </c>
      <c r="N51" s="240">
        <f t="shared" si="4"/>
        <v>100</v>
      </c>
      <c r="O51" s="240">
        <f t="shared" si="5"/>
        <v>78.868130769230774</v>
      </c>
      <c r="P51" s="240">
        <f t="shared" si="6"/>
        <v>99.998605286257686</v>
      </c>
      <c r="Q51" s="240">
        <f t="shared" si="7"/>
        <v>-27.47</v>
      </c>
      <c r="R51" s="240">
        <f t="shared" si="8"/>
        <v>78.869230769230768</v>
      </c>
    </row>
    <row r="52" spans="1:18" ht="22.5" x14ac:dyDescent="0.2">
      <c r="A52" s="234" t="s">
        <v>442</v>
      </c>
      <c r="B52" s="235">
        <v>1</v>
      </c>
      <c r="C52" s="236">
        <v>13</v>
      </c>
      <c r="D52" s="237" t="s">
        <v>441</v>
      </c>
      <c r="E52" s="238">
        <v>200</v>
      </c>
      <c r="F52" s="239"/>
      <c r="G52" s="240">
        <f>G53</f>
        <v>2924.4</v>
      </c>
      <c r="H52" s="240">
        <f>H53</f>
        <v>4018.08</v>
      </c>
      <c r="I52" s="240">
        <f t="shared" ref="I52:J52" si="24">I53</f>
        <v>4018.0870000000004</v>
      </c>
      <c r="J52" s="240">
        <f t="shared" si="24"/>
        <v>4018.0870000000004</v>
      </c>
      <c r="K52" s="240">
        <f t="shared" si="1"/>
        <v>7.000000000516593E-3</v>
      </c>
      <c r="L52" s="240">
        <f t="shared" si="2"/>
        <v>100.00017421255924</v>
      </c>
      <c r="M52" s="240">
        <f t="shared" si="3"/>
        <v>0</v>
      </c>
      <c r="N52" s="240">
        <f t="shared" si="4"/>
        <v>100</v>
      </c>
      <c r="O52" s="240">
        <f t="shared" si="5"/>
        <v>137.39868007112571</v>
      </c>
      <c r="P52" s="240">
        <f t="shared" si="6"/>
        <v>100.00017421255924</v>
      </c>
      <c r="Q52" s="240">
        <f t="shared" si="7"/>
        <v>1093.6799999999998</v>
      </c>
      <c r="R52" s="240">
        <f t="shared" si="8"/>
        <v>137.39844070578579</v>
      </c>
    </row>
    <row r="53" spans="1:18" ht="33.75" x14ac:dyDescent="0.2">
      <c r="A53" s="234" t="s">
        <v>443</v>
      </c>
      <c r="B53" s="235">
        <v>1</v>
      </c>
      <c r="C53" s="236">
        <v>13</v>
      </c>
      <c r="D53" s="237" t="s">
        <v>441</v>
      </c>
      <c r="E53" s="238">
        <v>240</v>
      </c>
      <c r="F53" s="239"/>
      <c r="G53" s="240">
        <v>2924.4</v>
      </c>
      <c r="H53" s="240">
        <v>4018.08</v>
      </c>
      <c r="I53" s="240">
        <f>SUM(I54:I61)</f>
        <v>4018.0870000000004</v>
      </c>
      <c r="J53" s="240">
        <f>SUM(J54:J61)</f>
        <v>4018.0870000000004</v>
      </c>
      <c r="K53" s="240">
        <f t="shared" si="1"/>
        <v>7.000000000516593E-3</v>
      </c>
      <c r="L53" s="240">
        <f t="shared" si="2"/>
        <v>100.00017421255924</v>
      </c>
      <c r="M53" s="240">
        <f t="shared" si="3"/>
        <v>0</v>
      </c>
      <c r="N53" s="240">
        <f t="shared" si="4"/>
        <v>100</v>
      </c>
      <c r="O53" s="240">
        <f t="shared" si="5"/>
        <v>137.39868007112571</v>
      </c>
      <c r="P53" s="240">
        <f t="shared" si="6"/>
        <v>100.00017421255924</v>
      </c>
      <c r="Q53" s="240">
        <f t="shared" si="7"/>
        <v>1093.6799999999998</v>
      </c>
      <c r="R53" s="240">
        <f t="shared" si="8"/>
        <v>137.39844070578579</v>
      </c>
    </row>
    <row r="54" spans="1:18" x14ac:dyDescent="0.2">
      <c r="A54" s="234"/>
      <c r="B54" s="235">
        <v>1</v>
      </c>
      <c r="C54" s="236">
        <v>13</v>
      </c>
      <c r="D54" s="237" t="s">
        <v>441</v>
      </c>
      <c r="E54" s="238">
        <v>244</v>
      </c>
      <c r="F54" s="239">
        <v>221</v>
      </c>
      <c r="G54" s="240"/>
      <c r="H54" s="240"/>
      <c r="I54" s="240">
        <v>8.4362499999999994</v>
      </c>
      <c r="J54" s="240">
        <v>8.4362499999999994</v>
      </c>
      <c r="K54" s="240"/>
      <c r="L54" s="240"/>
      <c r="M54" s="240">
        <f t="shared" si="3"/>
        <v>0</v>
      </c>
      <c r="N54" s="240"/>
      <c r="O54" s="240"/>
      <c r="P54" s="240"/>
      <c r="Q54" s="240"/>
      <c r="R54" s="240"/>
    </row>
    <row r="55" spans="1:18" x14ac:dyDescent="0.2">
      <c r="A55" s="234"/>
      <c r="B55" s="235">
        <v>1</v>
      </c>
      <c r="C55" s="236">
        <v>13</v>
      </c>
      <c r="D55" s="237" t="s">
        <v>441</v>
      </c>
      <c r="E55" s="238">
        <v>244</v>
      </c>
      <c r="F55" s="239">
        <v>222</v>
      </c>
      <c r="G55" s="240"/>
      <c r="H55" s="240"/>
      <c r="I55" s="240">
        <v>490.09014999999999</v>
      </c>
      <c r="J55" s="240">
        <v>490.09014999999999</v>
      </c>
      <c r="K55" s="240"/>
      <c r="L55" s="240"/>
      <c r="M55" s="240">
        <f t="shared" si="3"/>
        <v>0</v>
      </c>
      <c r="N55" s="240"/>
      <c r="O55" s="240"/>
      <c r="P55" s="240"/>
      <c r="Q55" s="240"/>
      <c r="R55" s="240"/>
    </row>
    <row r="56" spans="1:18" x14ac:dyDescent="0.2">
      <c r="A56" s="234"/>
      <c r="B56" s="235">
        <v>1</v>
      </c>
      <c r="C56" s="236">
        <v>13</v>
      </c>
      <c r="D56" s="237" t="s">
        <v>441</v>
      </c>
      <c r="E56" s="238">
        <v>244</v>
      </c>
      <c r="F56" s="239">
        <v>223</v>
      </c>
      <c r="G56" s="240"/>
      <c r="H56" s="240"/>
      <c r="I56" s="240">
        <v>104.66239</v>
      </c>
      <c r="J56" s="240">
        <v>104.66239</v>
      </c>
      <c r="K56" s="240"/>
      <c r="L56" s="240"/>
      <c r="M56" s="240">
        <f t="shared" si="3"/>
        <v>0</v>
      </c>
      <c r="N56" s="240"/>
      <c r="O56" s="240"/>
      <c r="P56" s="240"/>
      <c r="Q56" s="240"/>
      <c r="R56" s="240"/>
    </row>
    <row r="57" spans="1:18" x14ac:dyDescent="0.2">
      <c r="A57" s="234"/>
      <c r="B57" s="235">
        <v>1</v>
      </c>
      <c r="C57" s="236">
        <v>13</v>
      </c>
      <c r="D57" s="237" t="s">
        <v>441</v>
      </c>
      <c r="E57" s="238">
        <v>244</v>
      </c>
      <c r="F57" s="239">
        <v>225</v>
      </c>
      <c r="G57" s="240"/>
      <c r="H57" s="240"/>
      <c r="I57" s="240">
        <v>320.45026999999999</v>
      </c>
      <c r="J57" s="240">
        <v>320.45026999999999</v>
      </c>
      <c r="K57" s="240"/>
      <c r="L57" s="240"/>
      <c r="M57" s="240">
        <f t="shared" si="3"/>
        <v>0</v>
      </c>
      <c r="N57" s="240"/>
      <c r="O57" s="240"/>
      <c r="P57" s="240"/>
      <c r="Q57" s="240"/>
      <c r="R57" s="240"/>
    </row>
    <row r="58" spans="1:18" x14ac:dyDescent="0.2">
      <c r="A58" s="234"/>
      <c r="B58" s="235">
        <v>1</v>
      </c>
      <c r="C58" s="236">
        <v>13</v>
      </c>
      <c r="D58" s="237" t="s">
        <v>441</v>
      </c>
      <c r="E58" s="238">
        <v>244</v>
      </c>
      <c r="F58" s="239">
        <v>226</v>
      </c>
      <c r="G58" s="240"/>
      <c r="H58" s="240"/>
      <c r="I58" s="240">
        <v>1387.98918</v>
      </c>
      <c r="J58" s="240">
        <v>1387.98918</v>
      </c>
      <c r="K58" s="240"/>
      <c r="L58" s="240"/>
      <c r="M58" s="240">
        <f t="shared" si="3"/>
        <v>0</v>
      </c>
      <c r="N58" s="240"/>
      <c r="O58" s="240"/>
      <c r="P58" s="240"/>
      <c r="Q58" s="240"/>
      <c r="R58" s="240"/>
    </row>
    <row r="59" spans="1:18" x14ac:dyDescent="0.2">
      <c r="A59" s="234"/>
      <c r="B59" s="235">
        <v>1</v>
      </c>
      <c r="C59" s="236">
        <v>13</v>
      </c>
      <c r="D59" s="237" t="s">
        <v>441</v>
      </c>
      <c r="E59" s="238">
        <v>244</v>
      </c>
      <c r="F59" s="239">
        <v>296</v>
      </c>
      <c r="G59" s="240"/>
      <c r="H59" s="240"/>
      <c r="I59" s="240">
        <v>15.04397</v>
      </c>
      <c r="J59" s="240">
        <v>15.04397</v>
      </c>
      <c r="K59" s="240"/>
      <c r="L59" s="240"/>
      <c r="M59" s="240">
        <f t="shared" si="3"/>
        <v>0</v>
      </c>
      <c r="N59" s="240"/>
      <c r="O59" s="240"/>
      <c r="P59" s="240"/>
      <c r="Q59" s="240"/>
      <c r="R59" s="240"/>
    </row>
    <row r="60" spans="1:18" x14ac:dyDescent="0.2">
      <c r="A60" s="234"/>
      <c r="B60" s="235">
        <v>1</v>
      </c>
      <c r="C60" s="236">
        <v>13</v>
      </c>
      <c r="D60" s="237" t="s">
        <v>441</v>
      </c>
      <c r="E60" s="238">
        <v>244</v>
      </c>
      <c r="F60" s="239">
        <v>310</v>
      </c>
      <c r="G60" s="240"/>
      <c r="H60" s="240"/>
      <c r="I60" s="240">
        <v>1057.45822</v>
      </c>
      <c r="J60" s="240">
        <v>1057.45822</v>
      </c>
      <c r="K60" s="240"/>
      <c r="L60" s="240"/>
      <c r="M60" s="240">
        <f t="shared" si="3"/>
        <v>0</v>
      </c>
      <c r="N60" s="240"/>
      <c r="O60" s="240"/>
      <c r="P60" s="240"/>
      <c r="Q60" s="240"/>
      <c r="R60" s="240"/>
    </row>
    <row r="61" spans="1:18" x14ac:dyDescent="0.2">
      <c r="A61" s="234"/>
      <c r="B61" s="235">
        <v>1</v>
      </c>
      <c r="C61" s="236">
        <v>13</v>
      </c>
      <c r="D61" s="237" t="s">
        <v>441</v>
      </c>
      <c r="E61" s="238">
        <v>244</v>
      </c>
      <c r="F61" s="239">
        <v>340</v>
      </c>
      <c r="G61" s="240"/>
      <c r="H61" s="240"/>
      <c r="I61" s="240">
        <v>633.95657000000006</v>
      </c>
      <c r="J61" s="240">
        <v>633.95657000000006</v>
      </c>
      <c r="K61" s="240"/>
      <c r="L61" s="240"/>
      <c r="M61" s="240">
        <f t="shared" si="3"/>
        <v>0</v>
      </c>
      <c r="N61" s="240"/>
      <c r="O61" s="240"/>
      <c r="P61" s="240"/>
      <c r="Q61" s="240"/>
      <c r="R61" s="240"/>
    </row>
    <row r="62" spans="1:18" ht="24" customHeight="1" x14ac:dyDescent="0.2">
      <c r="A62" s="258" t="s">
        <v>452</v>
      </c>
      <c r="B62" s="235">
        <v>1</v>
      </c>
      <c r="C62" s="236">
        <v>13</v>
      </c>
      <c r="D62" s="237" t="s">
        <v>441</v>
      </c>
      <c r="E62" s="238">
        <v>300</v>
      </c>
      <c r="F62" s="239"/>
      <c r="G62" s="240">
        <f>G63</f>
        <v>30</v>
      </c>
      <c r="H62" s="240">
        <f>H63</f>
        <v>7.4</v>
      </c>
      <c r="I62" s="240">
        <f t="shared" ref="I62:J62" si="25">I63</f>
        <v>7.3949999999999996</v>
      </c>
      <c r="J62" s="240">
        <f t="shared" si="25"/>
        <v>7.3949999999999996</v>
      </c>
      <c r="K62" s="240">
        <f t="shared" si="1"/>
        <v>-5.0000000000007816E-3</v>
      </c>
      <c r="L62" s="240">
        <f t="shared" si="2"/>
        <v>99.932432432432421</v>
      </c>
      <c r="M62" s="240">
        <f t="shared" si="3"/>
        <v>0</v>
      </c>
      <c r="N62" s="240">
        <f t="shared" si="4"/>
        <v>100</v>
      </c>
      <c r="O62" s="240">
        <f t="shared" si="5"/>
        <v>24.65</v>
      </c>
      <c r="P62" s="240">
        <f t="shared" si="6"/>
        <v>99.932432432432421</v>
      </c>
      <c r="Q62" s="240">
        <f t="shared" si="7"/>
        <v>-22.6</v>
      </c>
      <c r="R62" s="240">
        <f t="shared" si="8"/>
        <v>24.666666666666668</v>
      </c>
    </row>
    <row r="63" spans="1:18" x14ac:dyDescent="0.2">
      <c r="A63" s="234" t="s">
        <v>453</v>
      </c>
      <c r="B63" s="235">
        <v>1</v>
      </c>
      <c r="C63" s="236">
        <v>13</v>
      </c>
      <c r="D63" s="237" t="s">
        <v>441</v>
      </c>
      <c r="E63" s="238">
        <v>360</v>
      </c>
      <c r="F63" s="239">
        <v>296</v>
      </c>
      <c r="G63" s="240">
        <v>30</v>
      </c>
      <c r="H63" s="240">
        <v>7.4</v>
      </c>
      <c r="I63" s="240">
        <v>7.3949999999999996</v>
      </c>
      <c r="J63" s="240">
        <v>7.3949999999999996</v>
      </c>
      <c r="K63" s="240">
        <f t="shared" si="1"/>
        <v>-5.0000000000007816E-3</v>
      </c>
      <c r="L63" s="240">
        <f t="shared" si="2"/>
        <v>99.932432432432421</v>
      </c>
      <c r="M63" s="240">
        <f t="shared" si="3"/>
        <v>0</v>
      </c>
      <c r="N63" s="240">
        <f t="shared" si="4"/>
        <v>100</v>
      </c>
      <c r="O63" s="240">
        <f t="shared" si="5"/>
        <v>24.65</v>
      </c>
      <c r="P63" s="240">
        <f t="shared" si="6"/>
        <v>99.932432432432421</v>
      </c>
      <c r="Q63" s="240">
        <f t="shared" si="7"/>
        <v>-22.6</v>
      </c>
      <c r="R63" s="240">
        <f t="shared" si="8"/>
        <v>24.666666666666668</v>
      </c>
    </row>
    <row r="64" spans="1:18" x14ac:dyDescent="0.2">
      <c r="A64" s="234" t="s">
        <v>448</v>
      </c>
      <c r="B64" s="235">
        <v>1</v>
      </c>
      <c r="C64" s="236">
        <v>13</v>
      </c>
      <c r="D64" s="237" t="s">
        <v>441</v>
      </c>
      <c r="E64" s="238">
        <v>800</v>
      </c>
      <c r="F64" s="239"/>
      <c r="G64" s="240">
        <f>G65</f>
        <v>61.4</v>
      </c>
      <c r="H64" s="240">
        <f>H65</f>
        <v>65.44</v>
      </c>
      <c r="I64" s="240">
        <f t="shared" ref="I64:J64" si="26">I65</f>
        <v>65.442550000000011</v>
      </c>
      <c r="J64" s="240">
        <f t="shared" si="26"/>
        <v>65.442550000000011</v>
      </c>
      <c r="K64" s="240">
        <f t="shared" si="1"/>
        <v>2.5500000000135969E-3</v>
      </c>
      <c r="L64" s="240">
        <f t="shared" si="2"/>
        <v>100.00389669926652</v>
      </c>
      <c r="M64" s="240">
        <f t="shared" si="3"/>
        <v>0</v>
      </c>
      <c r="N64" s="240">
        <f t="shared" si="4"/>
        <v>100</v>
      </c>
      <c r="O64" s="240">
        <f t="shared" si="5"/>
        <v>106.58395765472315</v>
      </c>
      <c r="P64" s="240">
        <f t="shared" si="6"/>
        <v>100.00389669926652</v>
      </c>
      <c r="Q64" s="240">
        <f t="shared" si="7"/>
        <v>4.0399999999999991</v>
      </c>
      <c r="R64" s="240">
        <f t="shared" si="8"/>
        <v>106.5798045602606</v>
      </c>
    </row>
    <row r="65" spans="1:18" x14ac:dyDescent="0.2">
      <c r="A65" s="259" t="s">
        <v>454</v>
      </c>
      <c r="B65" s="260">
        <v>1</v>
      </c>
      <c r="C65" s="261">
        <v>13</v>
      </c>
      <c r="D65" s="262" t="s">
        <v>441</v>
      </c>
      <c r="E65" s="263">
        <v>850</v>
      </c>
      <c r="F65" s="264"/>
      <c r="G65" s="265">
        <v>61.4</v>
      </c>
      <c r="H65" s="265">
        <v>65.44</v>
      </c>
      <c r="I65" s="265">
        <f>I66+I67+I68+I69</f>
        <v>65.442550000000011</v>
      </c>
      <c r="J65" s="265">
        <f>J66+J67+J68+J69</f>
        <v>65.442550000000011</v>
      </c>
      <c r="K65" s="265">
        <f t="shared" si="1"/>
        <v>2.5500000000135969E-3</v>
      </c>
      <c r="L65" s="265">
        <f t="shared" si="2"/>
        <v>100.00389669926652</v>
      </c>
      <c r="M65" s="265">
        <f t="shared" si="3"/>
        <v>0</v>
      </c>
      <c r="N65" s="265">
        <f t="shared" si="4"/>
        <v>100</v>
      </c>
      <c r="O65" s="265">
        <f t="shared" si="5"/>
        <v>106.58395765472315</v>
      </c>
      <c r="P65" s="265">
        <f t="shared" si="6"/>
        <v>100.00389669926652</v>
      </c>
      <c r="Q65" s="265">
        <f t="shared" si="7"/>
        <v>4.0399999999999991</v>
      </c>
      <c r="R65" s="265">
        <f t="shared" si="8"/>
        <v>106.5798045602606</v>
      </c>
    </row>
    <row r="66" spans="1:18" x14ac:dyDescent="0.2">
      <c r="A66" s="259"/>
      <c r="B66" s="260">
        <v>1</v>
      </c>
      <c r="C66" s="261">
        <v>13</v>
      </c>
      <c r="D66" s="262" t="s">
        <v>441</v>
      </c>
      <c r="E66" s="263">
        <v>851</v>
      </c>
      <c r="F66" s="264">
        <v>291</v>
      </c>
      <c r="G66" s="265"/>
      <c r="H66" s="265"/>
      <c r="I66" s="265">
        <v>16.413</v>
      </c>
      <c r="J66" s="265">
        <v>16.413</v>
      </c>
      <c r="K66" s="265"/>
      <c r="L66" s="265"/>
      <c r="M66" s="265">
        <f t="shared" si="3"/>
        <v>0</v>
      </c>
      <c r="N66" s="265"/>
      <c r="O66" s="265"/>
      <c r="P66" s="265"/>
      <c r="Q66" s="265"/>
      <c r="R66" s="265"/>
    </row>
    <row r="67" spans="1:18" x14ac:dyDescent="0.2">
      <c r="A67" s="259"/>
      <c r="B67" s="260">
        <v>1</v>
      </c>
      <c r="C67" s="261">
        <v>13</v>
      </c>
      <c r="D67" s="262" t="s">
        <v>441</v>
      </c>
      <c r="E67" s="263">
        <v>852</v>
      </c>
      <c r="F67" s="264">
        <v>291</v>
      </c>
      <c r="G67" s="265"/>
      <c r="H67" s="265"/>
      <c r="I67" s="265">
        <v>27.058</v>
      </c>
      <c r="J67" s="265">
        <v>27.058</v>
      </c>
      <c r="K67" s="265"/>
      <c r="L67" s="265"/>
      <c r="M67" s="265">
        <f t="shared" si="3"/>
        <v>0</v>
      </c>
      <c r="N67" s="265"/>
      <c r="O67" s="265"/>
      <c r="P67" s="265"/>
      <c r="Q67" s="265"/>
      <c r="R67" s="265"/>
    </row>
    <row r="68" spans="1:18" x14ac:dyDescent="0.2">
      <c r="A68" s="259"/>
      <c r="B68" s="260">
        <v>1</v>
      </c>
      <c r="C68" s="261">
        <v>13</v>
      </c>
      <c r="D68" s="262" t="s">
        <v>441</v>
      </c>
      <c r="E68" s="263">
        <v>853</v>
      </c>
      <c r="F68" s="264">
        <v>292</v>
      </c>
      <c r="G68" s="265"/>
      <c r="H68" s="265"/>
      <c r="I68" s="265">
        <v>6.9715499999999997</v>
      </c>
      <c r="J68" s="265">
        <v>6.9715499999999997</v>
      </c>
      <c r="K68" s="265"/>
      <c r="L68" s="265"/>
      <c r="M68" s="265">
        <f t="shared" si="3"/>
        <v>0</v>
      </c>
      <c r="N68" s="265"/>
      <c r="O68" s="265"/>
      <c r="P68" s="265"/>
      <c r="Q68" s="265"/>
      <c r="R68" s="265"/>
    </row>
    <row r="69" spans="1:18" x14ac:dyDescent="0.2">
      <c r="A69" s="259"/>
      <c r="B69" s="260">
        <v>1</v>
      </c>
      <c r="C69" s="261">
        <v>13</v>
      </c>
      <c r="D69" s="262" t="s">
        <v>441</v>
      </c>
      <c r="E69" s="263">
        <v>853</v>
      </c>
      <c r="F69" s="264">
        <v>296</v>
      </c>
      <c r="G69" s="265"/>
      <c r="H69" s="265"/>
      <c r="I69" s="265">
        <v>15</v>
      </c>
      <c r="J69" s="265">
        <v>15</v>
      </c>
      <c r="K69" s="265"/>
      <c r="L69" s="265"/>
      <c r="M69" s="265">
        <f t="shared" si="3"/>
        <v>0</v>
      </c>
      <c r="N69" s="265"/>
      <c r="O69" s="265"/>
      <c r="P69" s="265"/>
      <c r="Q69" s="265"/>
      <c r="R69" s="265"/>
    </row>
    <row r="70" spans="1:18" x14ac:dyDescent="0.2">
      <c r="A70" s="234" t="s">
        <v>455</v>
      </c>
      <c r="B70" s="235">
        <v>1</v>
      </c>
      <c r="C70" s="236">
        <v>13</v>
      </c>
      <c r="D70" s="237" t="s">
        <v>456</v>
      </c>
      <c r="E70" s="238" t="s">
        <v>457</v>
      </c>
      <c r="F70" s="239"/>
      <c r="G70" s="240">
        <f t="shared" ref="G70:J72" si="27">G71</f>
        <v>0</v>
      </c>
      <c r="H70" s="240">
        <f t="shared" si="27"/>
        <v>44.5</v>
      </c>
      <c r="I70" s="240">
        <f t="shared" si="27"/>
        <v>44.498379999999997</v>
      </c>
      <c r="J70" s="240">
        <f t="shared" si="27"/>
        <v>44.498379999999997</v>
      </c>
      <c r="K70" s="240">
        <f t="shared" si="1"/>
        <v>-1.6200000000026193E-3</v>
      </c>
      <c r="L70" s="240">
        <f t="shared" si="2"/>
        <v>99.996359550561792</v>
      </c>
      <c r="M70" s="240">
        <f t="shared" si="3"/>
        <v>0</v>
      </c>
      <c r="N70" s="240">
        <f t="shared" si="4"/>
        <v>100</v>
      </c>
      <c r="O70" s="240">
        <v>0</v>
      </c>
      <c r="P70" s="240">
        <f t="shared" si="6"/>
        <v>99.996359550561792</v>
      </c>
      <c r="Q70" s="240">
        <f t="shared" si="7"/>
        <v>44.5</v>
      </c>
      <c r="R70" s="240">
        <v>100</v>
      </c>
    </row>
    <row r="71" spans="1:18" ht="42" x14ac:dyDescent="0.2">
      <c r="A71" s="248" t="s">
        <v>458</v>
      </c>
      <c r="B71" s="235">
        <v>1</v>
      </c>
      <c r="C71" s="236">
        <v>13</v>
      </c>
      <c r="D71" s="237" t="s">
        <v>459</v>
      </c>
      <c r="E71" s="238" t="s">
        <v>457</v>
      </c>
      <c r="F71" s="239"/>
      <c r="G71" s="240">
        <f t="shared" si="27"/>
        <v>0</v>
      </c>
      <c r="H71" s="240">
        <f t="shared" si="27"/>
        <v>44.5</v>
      </c>
      <c r="I71" s="240">
        <f t="shared" si="27"/>
        <v>44.498379999999997</v>
      </c>
      <c r="J71" s="240">
        <f t="shared" si="27"/>
        <v>44.498379999999997</v>
      </c>
      <c r="K71" s="240">
        <f t="shared" si="1"/>
        <v>-1.6200000000026193E-3</v>
      </c>
      <c r="L71" s="240">
        <f t="shared" si="2"/>
        <v>99.996359550561792</v>
      </c>
      <c r="M71" s="240">
        <f t="shared" si="3"/>
        <v>0</v>
      </c>
      <c r="N71" s="240">
        <f t="shared" si="4"/>
        <v>100</v>
      </c>
      <c r="O71" s="240">
        <v>0</v>
      </c>
      <c r="P71" s="240">
        <f t="shared" si="6"/>
        <v>99.996359550561792</v>
      </c>
      <c r="Q71" s="240">
        <f t="shared" si="7"/>
        <v>44.5</v>
      </c>
      <c r="R71" s="240">
        <v>100</v>
      </c>
    </row>
    <row r="72" spans="1:18" x14ac:dyDescent="0.2">
      <c r="A72" s="234" t="s">
        <v>460</v>
      </c>
      <c r="B72" s="235">
        <v>1</v>
      </c>
      <c r="C72" s="236">
        <v>13</v>
      </c>
      <c r="D72" s="237" t="s">
        <v>459</v>
      </c>
      <c r="E72" s="238">
        <v>500</v>
      </c>
      <c r="F72" s="239"/>
      <c r="G72" s="240">
        <f t="shared" si="27"/>
        <v>0</v>
      </c>
      <c r="H72" s="240">
        <f t="shared" si="27"/>
        <v>44.5</v>
      </c>
      <c r="I72" s="240">
        <f t="shared" si="27"/>
        <v>44.498379999999997</v>
      </c>
      <c r="J72" s="240">
        <f t="shared" si="27"/>
        <v>44.498379999999997</v>
      </c>
      <c r="K72" s="240">
        <f t="shared" si="1"/>
        <v>-1.6200000000026193E-3</v>
      </c>
      <c r="L72" s="240">
        <f t="shared" si="2"/>
        <v>99.996359550561792</v>
      </c>
      <c r="M72" s="240">
        <f t="shared" si="3"/>
        <v>0</v>
      </c>
      <c r="N72" s="240">
        <f t="shared" si="4"/>
        <v>100</v>
      </c>
      <c r="O72" s="240">
        <v>0</v>
      </c>
      <c r="P72" s="240">
        <f t="shared" si="6"/>
        <v>99.996359550561792</v>
      </c>
      <c r="Q72" s="240">
        <f t="shared" si="7"/>
        <v>44.5</v>
      </c>
      <c r="R72" s="240">
        <v>100</v>
      </c>
    </row>
    <row r="73" spans="1:18" ht="13.5" thickBot="1" x14ac:dyDescent="0.25">
      <c r="A73" s="234" t="s">
        <v>461</v>
      </c>
      <c r="B73" s="260">
        <v>1</v>
      </c>
      <c r="C73" s="261">
        <v>13</v>
      </c>
      <c r="D73" s="237" t="s">
        <v>459</v>
      </c>
      <c r="E73" s="263">
        <v>540</v>
      </c>
      <c r="F73" s="264">
        <v>251</v>
      </c>
      <c r="G73" s="265"/>
      <c r="H73" s="265">
        <v>44.5</v>
      </c>
      <c r="I73" s="265">
        <v>44.498379999999997</v>
      </c>
      <c r="J73" s="265">
        <v>44.498379999999997</v>
      </c>
      <c r="K73" s="265">
        <f t="shared" si="1"/>
        <v>-1.6200000000026193E-3</v>
      </c>
      <c r="L73" s="265">
        <f t="shared" si="2"/>
        <v>99.996359550561792</v>
      </c>
      <c r="M73" s="265">
        <f t="shared" si="3"/>
        <v>0</v>
      </c>
      <c r="N73" s="265">
        <f t="shared" si="4"/>
        <v>100</v>
      </c>
      <c r="O73" s="265">
        <v>0</v>
      </c>
      <c r="P73" s="265">
        <f t="shared" si="6"/>
        <v>99.996359550561792</v>
      </c>
      <c r="Q73" s="265">
        <f t="shared" si="7"/>
        <v>44.5</v>
      </c>
      <c r="R73" s="265">
        <v>100</v>
      </c>
    </row>
    <row r="74" spans="1:18" ht="13.5" thickBot="1" x14ac:dyDescent="0.25">
      <c r="A74" s="220" t="s">
        <v>285</v>
      </c>
      <c r="B74" s="221">
        <v>2</v>
      </c>
      <c r="C74" s="222"/>
      <c r="D74" s="223"/>
      <c r="E74" s="224"/>
      <c r="F74" s="225"/>
      <c r="G74" s="226">
        <f t="shared" ref="G74:J79" si="28">G75</f>
        <v>210.1</v>
      </c>
      <c r="H74" s="226">
        <f t="shared" si="28"/>
        <v>210.1</v>
      </c>
      <c r="I74" s="226">
        <f t="shared" si="28"/>
        <v>210.1</v>
      </c>
      <c r="J74" s="226">
        <f t="shared" si="28"/>
        <v>210.1</v>
      </c>
      <c r="K74" s="226">
        <f t="shared" si="1"/>
        <v>0</v>
      </c>
      <c r="L74" s="226">
        <f t="shared" si="2"/>
        <v>100</v>
      </c>
      <c r="M74" s="226">
        <f t="shared" si="3"/>
        <v>0</v>
      </c>
      <c r="N74" s="226">
        <f t="shared" si="4"/>
        <v>100</v>
      </c>
      <c r="O74" s="226">
        <f t="shared" si="5"/>
        <v>100</v>
      </c>
      <c r="P74" s="226">
        <f t="shared" si="6"/>
        <v>100</v>
      </c>
      <c r="Q74" s="226">
        <f t="shared" si="7"/>
        <v>0</v>
      </c>
      <c r="R74" s="226">
        <f t="shared" si="8"/>
        <v>100</v>
      </c>
    </row>
    <row r="75" spans="1:18" x14ac:dyDescent="0.2">
      <c r="A75" s="266" t="s">
        <v>462</v>
      </c>
      <c r="B75" s="267">
        <v>2</v>
      </c>
      <c r="C75" s="268">
        <v>3</v>
      </c>
      <c r="D75" s="269"/>
      <c r="E75" s="270"/>
      <c r="F75" s="271"/>
      <c r="G75" s="272">
        <f t="shared" si="28"/>
        <v>210.1</v>
      </c>
      <c r="H75" s="272">
        <f t="shared" si="28"/>
        <v>210.1</v>
      </c>
      <c r="I75" s="272">
        <f t="shared" si="28"/>
        <v>210.1</v>
      </c>
      <c r="J75" s="272">
        <f t="shared" si="28"/>
        <v>210.1</v>
      </c>
      <c r="K75" s="272">
        <f t="shared" si="1"/>
        <v>0</v>
      </c>
      <c r="L75" s="272">
        <f t="shared" si="2"/>
        <v>100</v>
      </c>
      <c r="M75" s="272">
        <f t="shared" si="3"/>
        <v>0</v>
      </c>
      <c r="N75" s="272">
        <f t="shared" si="4"/>
        <v>100</v>
      </c>
      <c r="O75" s="272">
        <f t="shared" si="5"/>
        <v>100</v>
      </c>
      <c r="P75" s="272">
        <f t="shared" si="6"/>
        <v>100</v>
      </c>
      <c r="Q75" s="272">
        <f t="shared" si="7"/>
        <v>0</v>
      </c>
      <c r="R75" s="272">
        <f t="shared" si="8"/>
        <v>100</v>
      </c>
    </row>
    <row r="76" spans="1:18" x14ac:dyDescent="0.2">
      <c r="A76" s="273" t="s">
        <v>428</v>
      </c>
      <c r="B76" s="274">
        <v>2</v>
      </c>
      <c r="C76" s="275">
        <v>3</v>
      </c>
      <c r="D76" s="276" t="s">
        <v>429</v>
      </c>
      <c r="E76" s="238"/>
      <c r="F76" s="239"/>
      <c r="G76" s="240">
        <f t="shared" si="28"/>
        <v>210.1</v>
      </c>
      <c r="H76" s="240">
        <f t="shared" si="28"/>
        <v>210.1</v>
      </c>
      <c r="I76" s="240">
        <f t="shared" si="28"/>
        <v>210.1</v>
      </c>
      <c r="J76" s="240">
        <f t="shared" si="28"/>
        <v>210.1</v>
      </c>
      <c r="K76" s="240">
        <f t="shared" si="1"/>
        <v>0</v>
      </c>
      <c r="L76" s="240">
        <f t="shared" si="2"/>
        <v>100</v>
      </c>
      <c r="M76" s="240">
        <f t="shared" si="3"/>
        <v>0</v>
      </c>
      <c r="N76" s="240">
        <f t="shared" si="4"/>
        <v>100</v>
      </c>
      <c r="O76" s="240">
        <f t="shared" si="5"/>
        <v>100</v>
      </c>
      <c r="P76" s="240">
        <f t="shared" si="6"/>
        <v>100</v>
      </c>
      <c r="Q76" s="240">
        <f t="shared" si="7"/>
        <v>0</v>
      </c>
      <c r="R76" s="240">
        <f t="shared" si="8"/>
        <v>100</v>
      </c>
    </row>
    <row r="77" spans="1:18" ht="22.5" x14ac:dyDescent="0.2">
      <c r="A77" s="277" t="s">
        <v>463</v>
      </c>
      <c r="B77" s="235">
        <v>2</v>
      </c>
      <c r="C77" s="236">
        <v>3</v>
      </c>
      <c r="D77" s="237" t="s">
        <v>464</v>
      </c>
      <c r="E77" s="238"/>
      <c r="F77" s="239"/>
      <c r="G77" s="240">
        <f t="shared" si="28"/>
        <v>210.1</v>
      </c>
      <c r="H77" s="240">
        <f t="shared" si="28"/>
        <v>210.1</v>
      </c>
      <c r="I77" s="240">
        <f t="shared" si="28"/>
        <v>210.1</v>
      </c>
      <c r="J77" s="240">
        <f t="shared" si="28"/>
        <v>210.1</v>
      </c>
      <c r="K77" s="240">
        <f t="shared" si="1"/>
        <v>0</v>
      </c>
      <c r="L77" s="240">
        <f t="shared" si="2"/>
        <v>100</v>
      </c>
      <c r="M77" s="240">
        <f t="shared" si="3"/>
        <v>0</v>
      </c>
      <c r="N77" s="240">
        <f t="shared" si="4"/>
        <v>100</v>
      </c>
      <c r="O77" s="240">
        <f t="shared" si="5"/>
        <v>100</v>
      </c>
      <c r="P77" s="240">
        <f t="shared" si="6"/>
        <v>100</v>
      </c>
      <c r="Q77" s="240">
        <f t="shared" si="7"/>
        <v>0</v>
      </c>
      <c r="R77" s="240">
        <f t="shared" si="8"/>
        <v>100</v>
      </c>
    </row>
    <row r="78" spans="1:18" ht="45" x14ac:dyDescent="0.2">
      <c r="A78" s="277" t="s">
        <v>465</v>
      </c>
      <c r="B78" s="235">
        <v>2</v>
      </c>
      <c r="C78" s="236">
        <v>3</v>
      </c>
      <c r="D78" s="237" t="s">
        <v>466</v>
      </c>
      <c r="E78" s="238"/>
      <c r="F78" s="239"/>
      <c r="G78" s="240">
        <f t="shared" si="28"/>
        <v>210.1</v>
      </c>
      <c r="H78" s="240">
        <f t="shared" si="28"/>
        <v>210.1</v>
      </c>
      <c r="I78" s="240">
        <f t="shared" si="28"/>
        <v>210.1</v>
      </c>
      <c r="J78" s="240">
        <f t="shared" si="28"/>
        <v>210.1</v>
      </c>
      <c r="K78" s="240">
        <f t="shared" si="1"/>
        <v>0</v>
      </c>
      <c r="L78" s="240">
        <f t="shared" si="2"/>
        <v>100</v>
      </c>
      <c r="M78" s="240">
        <f t="shared" si="3"/>
        <v>0</v>
      </c>
      <c r="N78" s="240">
        <f t="shared" si="4"/>
        <v>100</v>
      </c>
      <c r="O78" s="240">
        <f t="shared" si="5"/>
        <v>100</v>
      </c>
      <c r="P78" s="240">
        <f t="shared" si="6"/>
        <v>100</v>
      </c>
      <c r="Q78" s="240">
        <f t="shared" si="7"/>
        <v>0</v>
      </c>
      <c r="R78" s="240">
        <f t="shared" si="8"/>
        <v>100</v>
      </c>
    </row>
    <row r="79" spans="1:18" ht="42.75" customHeight="1" x14ac:dyDescent="0.2">
      <c r="A79" s="248" t="s">
        <v>434</v>
      </c>
      <c r="B79" s="235">
        <v>2</v>
      </c>
      <c r="C79" s="236">
        <v>3</v>
      </c>
      <c r="D79" s="237" t="s">
        <v>466</v>
      </c>
      <c r="E79" s="238">
        <v>100</v>
      </c>
      <c r="F79" s="239"/>
      <c r="G79" s="240">
        <f t="shared" si="28"/>
        <v>210.1</v>
      </c>
      <c r="H79" s="240">
        <f t="shared" si="28"/>
        <v>210.1</v>
      </c>
      <c r="I79" s="240">
        <f t="shared" si="28"/>
        <v>210.1</v>
      </c>
      <c r="J79" s="240">
        <f t="shared" si="28"/>
        <v>210.1</v>
      </c>
      <c r="K79" s="240">
        <f t="shared" si="1"/>
        <v>0</v>
      </c>
      <c r="L79" s="240">
        <f t="shared" si="2"/>
        <v>100</v>
      </c>
      <c r="M79" s="240">
        <f t="shared" si="3"/>
        <v>0</v>
      </c>
      <c r="N79" s="240">
        <f t="shared" si="4"/>
        <v>100</v>
      </c>
      <c r="O79" s="240">
        <f t="shared" si="5"/>
        <v>100</v>
      </c>
      <c r="P79" s="240">
        <f t="shared" si="6"/>
        <v>100</v>
      </c>
      <c r="Q79" s="240">
        <f t="shared" si="7"/>
        <v>0</v>
      </c>
      <c r="R79" s="240">
        <f t="shared" si="8"/>
        <v>100</v>
      </c>
    </row>
    <row r="80" spans="1:18" ht="22.5" x14ac:dyDescent="0.2">
      <c r="A80" s="259" t="s">
        <v>435</v>
      </c>
      <c r="B80" s="260">
        <v>2</v>
      </c>
      <c r="C80" s="261">
        <v>3</v>
      </c>
      <c r="D80" s="262" t="s">
        <v>466</v>
      </c>
      <c r="E80" s="263">
        <v>120</v>
      </c>
      <c r="F80" s="264"/>
      <c r="G80" s="265">
        <v>210.1</v>
      </c>
      <c r="H80" s="265">
        <v>210.1</v>
      </c>
      <c r="I80" s="265">
        <f>I81+I82</f>
        <v>210.1</v>
      </c>
      <c r="J80" s="265">
        <f>J81+J82</f>
        <v>210.1</v>
      </c>
      <c r="K80" s="265">
        <f t="shared" si="1"/>
        <v>0</v>
      </c>
      <c r="L80" s="265">
        <f t="shared" si="2"/>
        <v>100</v>
      </c>
      <c r="M80" s="265">
        <f t="shared" si="3"/>
        <v>0</v>
      </c>
      <c r="N80" s="265">
        <f t="shared" si="4"/>
        <v>100</v>
      </c>
      <c r="O80" s="265">
        <f t="shared" si="5"/>
        <v>100</v>
      </c>
      <c r="P80" s="265">
        <f t="shared" si="6"/>
        <v>100</v>
      </c>
      <c r="Q80" s="265">
        <f t="shared" si="7"/>
        <v>0</v>
      </c>
      <c r="R80" s="265">
        <f t="shared" si="8"/>
        <v>100</v>
      </c>
    </row>
    <row r="81" spans="1:18" x14ac:dyDescent="0.2">
      <c r="A81" s="234"/>
      <c r="B81" s="260">
        <v>2</v>
      </c>
      <c r="C81" s="261">
        <v>3</v>
      </c>
      <c r="D81" s="262" t="s">
        <v>466</v>
      </c>
      <c r="E81" s="238">
        <v>121</v>
      </c>
      <c r="F81" s="239">
        <v>211</v>
      </c>
      <c r="G81" s="240"/>
      <c r="H81" s="240"/>
      <c r="I81" s="240">
        <v>148.46155999999999</v>
      </c>
      <c r="J81" s="240">
        <v>148.46155999999999</v>
      </c>
      <c r="K81" s="240"/>
      <c r="L81" s="240"/>
      <c r="M81" s="265">
        <f t="shared" si="3"/>
        <v>0</v>
      </c>
      <c r="N81" s="240"/>
      <c r="O81" s="240"/>
      <c r="P81" s="240"/>
      <c r="Q81" s="240"/>
      <c r="R81" s="240"/>
    </row>
    <row r="82" spans="1:18" x14ac:dyDescent="0.2">
      <c r="A82" s="234"/>
      <c r="B82" s="235">
        <v>2</v>
      </c>
      <c r="C82" s="236">
        <v>3</v>
      </c>
      <c r="D82" s="237" t="s">
        <v>466</v>
      </c>
      <c r="E82" s="238">
        <v>129</v>
      </c>
      <c r="F82" s="239">
        <v>213</v>
      </c>
      <c r="G82" s="240"/>
      <c r="H82" s="240"/>
      <c r="I82" s="240">
        <v>61.638440000000003</v>
      </c>
      <c r="J82" s="240">
        <v>61.638440000000003</v>
      </c>
      <c r="K82" s="240"/>
      <c r="L82" s="240"/>
      <c r="M82" s="240">
        <f t="shared" si="3"/>
        <v>0</v>
      </c>
      <c r="N82" s="240"/>
      <c r="O82" s="240"/>
      <c r="P82" s="240"/>
      <c r="Q82" s="240"/>
      <c r="R82" s="240"/>
    </row>
    <row r="83" spans="1:18" ht="24.75" customHeight="1" thickBot="1" x14ac:dyDescent="0.25">
      <c r="A83" s="278" t="s">
        <v>467</v>
      </c>
      <c r="B83" s="279">
        <v>3</v>
      </c>
      <c r="C83" s="280"/>
      <c r="D83" s="281"/>
      <c r="E83" s="281"/>
      <c r="F83" s="282"/>
      <c r="G83" s="283">
        <f>G84+G93</f>
        <v>237</v>
      </c>
      <c r="H83" s="283">
        <f>H84+H93</f>
        <v>154.68</v>
      </c>
      <c r="I83" s="283">
        <f t="shared" ref="I83:J83" si="29">I84+I93</f>
        <v>154.68</v>
      </c>
      <c r="J83" s="283">
        <f t="shared" si="29"/>
        <v>154.68</v>
      </c>
      <c r="K83" s="283">
        <f t="shared" si="1"/>
        <v>0</v>
      </c>
      <c r="L83" s="284">
        <f t="shared" si="2"/>
        <v>100</v>
      </c>
      <c r="M83" s="284">
        <f t="shared" si="3"/>
        <v>0</v>
      </c>
      <c r="N83" s="284">
        <f t="shared" si="4"/>
        <v>100</v>
      </c>
      <c r="O83" s="283">
        <f t="shared" si="5"/>
        <v>65.26582278481014</v>
      </c>
      <c r="P83" s="283">
        <f t="shared" si="6"/>
        <v>100</v>
      </c>
      <c r="Q83" s="283">
        <f t="shared" si="7"/>
        <v>-82.32</v>
      </c>
      <c r="R83" s="283">
        <f t="shared" si="8"/>
        <v>65.26582278481014</v>
      </c>
    </row>
    <row r="84" spans="1:18" x14ac:dyDescent="0.2">
      <c r="A84" s="285" t="s">
        <v>281</v>
      </c>
      <c r="B84" s="228">
        <v>3</v>
      </c>
      <c r="C84" s="229">
        <v>4</v>
      </c>
      <c r="D84" s="231"/>
      <c r="E84" s="231"/>
      <c r="F84" s="232"/>
      <c r="G84" s="233">
        <f>G85</f>
        <v>27</v>
      </c>
      <c r="H84" s="233">
        <f>H85</f>
        <v>27</v>
      </c>
      <c r="I84" s="233">
        <f t="shared" ref="I84:J85" si="30">I85</f>
        <v>27</v>
      </c>
      <c r="J84" s="233">
        <f t="shared" si="30"/>
        <v>27</v>
      </c>
      <c r="K84" s="233">
        <f t="shared" si="1"/>
        <v>0</v>
      </c>
      <c r="L84" s="233">
        <f t="shared" si="2"/>
        <v>100</v>
      </c>
      <c r="M84" s="233">
        <f t="shared" si="3"/>
        <v>0</v>
      </c>
      <c r="N84" s="233">
        <f t="shared" si="4"/>
        <v>100</v>
      </c>
      <c r="O84" s="233">
        <f t="shared" si="5"/>
        <v>100</v>
      </c>
      <c r="P84" s="233">
        <f t="shared" si="6"/>
        <v>100</v>
      </c>
      <c r="Q84" s="233">
        <f t="shared" si="7"/>
        <v>0</v>
      </c>
      <c r="R84" s="233">
        <f t="shared" si="8"/>
        <v>100</v>
      </c>
    </row>
    <row r="85" spans="1:18" ht="54.75" customHeight="1" x14ac:dyDescent="0.2">
      <c r="A85" s="286" t="s">
        <v>468</v>
      </c>
      <c r="B85" s="235">
        <v>3</v>
      </c>
      <c r="C85" s="236">
        <v>4</v>
      </c>
      <c r="D85" s="276" t="s">
        <v>469</v>
      </c>
      <c r="E85" s="238"/>
      <c r="F85" s="239"/>
      <c r="G85" s="240">
        <f>G86</f>
        <v>27</v>
      </c>
      <c r="H85" s="240">
        <f>H86</f>
        <v>27</v>
      </c>
      <c r="I85" s="240">
        <f t="shared" si="30"/>
        <v>27</v>
      </c>
      <c r="J85" s="240">
        <f t="shared" si="30"/>
        <v>27</v>
      </c>
      <c r="K85" s="240">
        <f t="shared" si="1"/>
        <v>0</v>
      </c>
      <c r="L85" s="240">
        <f t="shared" si="2"/>
        <v>100</v>
      </c>
      <c r="M85" s="240">
        <f t="shared" si="3"/>
        <v>0</v>
      </c>
      <c r="N85" s="240">
        <f t="shared" si="4"/>
        <v>100</v>
      </c>
      <c r="O85" s="240">
        <f t="shared" si="5"/>
        <v>100</v>
      </c>
      <c r="P85" s="240">
        <f t="shared" si="6"/>
        <v>100</v>
      </c>
      <c r="Q85" s="240">
        <f t="shared" si="7"/>
        <v>0</v>
      </c>
      <c r="R85" s="240">
        <f t="shared" si="8"/>
        <v>100</v>
      </c>
    </row>
    <row r="86" spans="1:18" ht="33.75" x14ac:dyDescent="0.2">
      <c r="A86" s="273" t="s">
        <v>470</v>
      </c>
      <c r="B86" s="235">
        <v>3</v>
      </c>
      <c r="C86" s="236">
        <v>4</v>
      </c>
      <c r="D86" s="276" t="s">
        <v>471</v>
      </c>
      <c r="E86" s="238"/>
      <c r="F86" s="239"/>
      <c r="G86" s="240">
        <f>G88</f>
        <v>27</v>
      </c>
      <c r="H86" s="240">
        <f>H88</f>
        <v>27</v>
      </c>
      <c r="I86" s="240">
        <f t="shared" ref="I86:J86" si="31">I88</f>
        <v>27</v>
      </c>
      <c r="J86" s="240">
        <f t="shared" si="31"/>
        <v>27</v>
      </c>
      <c r="K86" s="240">
        <f t="shared" si="1"/>
        <v>0</v>
      </c>
      <c r="L86" s="240">
        <f t="shared" si="2"/>
        <v>100</v>
      </c>
      <c r="M86" s="240">
        <f t="shared" si="3"/>
        <v>0</v>
      </c>
      <c r="N86" s="240">
        <f t="shared" si="4"/>
        <v>100</v>
      </c>
      <c r="O86" s="240">
        <f t="shared" si="5"/>
        <v>100</v>
      </c>
      <c r="P86" s="240">
        <f t="shared" si="6"/>
        <v>100</v>
      </c>
      <c r="Q86" s="240">
        <f t="shared" si="7"/>
        <v>0</v>
      </c>
      <c r="R86" s="240">
        <f t="shared" si="8"/>
        <v>100</v>
      </c>
    </row>
    <row r="87" spans="1:18" ht="45" x14ac:dyDescent="0.2">
      <c r="A87" s="273" t="s">
        <v>472</v>
      </c>
      <c r="B87" s="235">
        <v>3</v>
      </c>
      <c r="C87" s="236">
        <v>4</v>
      </c>
      <c r="D87" s="276" t="s">
        <v>473</v>
      </c>
      <c r="E87" s="238"/>
      <c r="F87" s="239"/>
      <c r="G87" s="240">
        <f t="shared" ref="G87:J89" si="32">G88</f>
        <v>27</v>
      </c>
      <c r="H87" s="240">
        <f t="shared" si="32"/>
        <v>27</v>
      </c>
      <c r="I87" s="240">
        <f t="shared" si="32"/>
        <v>27</v>
      </c>
      <c r="J87" s="240">
        <f t="shared" si="32"/>
        <v>27</v>
      </c>
      <c r="K87" s="240">
        <f t="shared" si="1"/>
        <v>0</v>
      </c>
      <c r="L87" s="240">
        <f t="shared" si="2"/>
        <v>100</v>
      </c>
      <c r="M87" s="240">
        <f t="shared" si="3"/>
        <v>0</v>
      </c>
      <c r="N87" s="240">
        <f t="shared" si="4"/>
        <v>100</v>
      </c>
      <c r="O87" s="240">
        <f t="shared" si="5"/>
        <v>100</v>
      </c>
      <c r="P87" s="240">
        <f t="shared" si="6"/>
        <v>100</v>
      </c>
      <c r="Q87" s="240">
        <f t="shared" si="7"/>
        <v>0</v>
      </c>
      <c r="R87" s="240">
        <f t="shared" si="8"/>
        <v>100</v>
      </c>
    </row>
    <row r="88" spans="1:18" ht="66" customHeight="1" x14ac:dyDescent="0.2">
      <c r="A88" s="287" t="s">
        <v>474</v>
      </c>
      <c r="B88" s="235">
        <v>3</v>
      </c>
      <c r="C88" s="236">
        <v>4</v>
      </c>
      <c r="D88" s="237" t="s">
        <v>475</v>
      </c>
      <c r="E88" s="238"/>
      <c r="F88" s="239"/>
      <c r="G88" s="240">
        <f t="shared" si="32"/>
        <v>27</v>
      </c>
      <c r="H88" s="240">
        <f t="shared" si="32"/>
        <v>27</v>
      </c>
      <c r="I88" s="240">
        <f t="shared" si="32"/>
        <v>27</v>
      </c>
      <c r="J88" s="240">
        <f t="shared" si="32"/>
        <v>27</v>
      </c>
      <c r="K88" s="240">
        <f t="shared" si="1"/>
        <v>0</v>
      </c>
      <c r="L88" s="240">
        <f t="shared" si="2"/>
        <v>100</v>
      </c>
      <c r="M88" s="240">
        <f t="shared" si="3"/>
        <v>0</v>
      </c>
      <c r="N88" s="240">
        <f t="shared" si="4"/>
        <v>100</v>
      </c>
      <c r="O88" s="240">
        <f t="shared" si="5"/>
        <v>100</v>
      </c>
      <c r="P88" s="240">
        <f t="shared" si="6"/>
        <v>100</v>
      </c>
      <c r="Q88" s="240">
        <f t="shared" si="7"/>
        <v>0</v>
      </c>
      <c r="R88" s="240">
        <f t="shared" si="8"/>
        <v>100</v>
      </c>
    </row>
    <row r="89" spans="1:18" ht="42" customHeight="1" x14ac:dyDescent="0.2">
      <c r="A89" s="248" t="s">
        <v>434</v>
      </c>
      <c r="B89" s="235">
        <v>3</v>
      </c>
      <c r="C89" s="236">
        <v>4</v>
      </c>
      <c r="D89" s="237" t="s">
        <v>475</v>
      </c>
      <c r="E89" s="238">
        <v>100</v>
      </c>
      <c r="F89" s="239"/>
      <c r="G89" s="240">
        <f t="shared" si="32"/>
        <v>27</v>
      </c>
      <c r="H89" s="240">
        <f t="shared" si="32"/>
        <v>27</v>
      </c>
      <c r="I89" s="240">
        <f t="shared" si="32"/>
        <v>27</v>
      </c>
      <c r="J89" s="240">
        <f t="shared" si="32"/>
        <v>27</v>
      </c>
      <c r="K89" s="240">
        <f t="shared" si="1"/>
        <v>0</v>
      </c>
      <c r="L89" s="240">
        <f t="shared" si="2"/>
        <v>100</v>
      </c>
      <c r="M89" s="240">
        <f t="shared" si="3"/>
        <v>0</v>
      </c>
      <c r="N89" s="240">
        <f t="shared" si="4"/>
        <v>100</v>
      </c>
      <c r="O89" s="240">
        <f t="shared" si="5"/>
        <v>100</v>
      </c>
      <c r="P89" s="240">
        <f t="shared" si="6"/>
        <v>100</v>
      </c>
      <c r="Q89" s="240">
        <f t="shared" si="7"/>
        <v>0</v>
      </c>
      <c r="R89" s="240">
        <f t="shared" si="8"/>
        <v>100</v>
      </c>
    </row>
    <row r="90" spans="1:18" ht="22.5" x14ac:dyDescent="0.2">
      <c r="A90" s="234" t="s">
        <v>435</v>
      </c>
      <c r="B90" s="235">
        <v>3</v>
      </c>
      <c r="C90" s="236">
        <v>4</v>
      </c>
      <c r="D90" s="237" t="s">
        <v>475</v>
      </c>
      <c r="E90" s="238">
        <v>120</v>
      </c>
      <c r="F90" s="239"/>
      <c r="G90" s="240">
        <v>27</v>
      </c>
      <c r="H90" s="240">
        <v>27</v>
      </c>
      <c r="I90" s="240">
        <f>I91+I92</f>
        <v>27</v>
      </c>
      <c r="J90" s="240">
        <f>J91+J92</f>
        <v>27</v>
      </c>
      <c r="K90" s="240">
        <f t="shared" si="1"/>
        <v>0</v>
      </c>
      <c r="L90" s="240">
        <f t="shared" si="2"/>
        <v>100</v>
      </c>
      <c r="M90" s="240">
        <f t="shared" si="3"/>
        <v>0</v>
      </c>
      <c r="N90" s="240">
        <f t="shared" si="4"/>
        <v>100</v>
      </c>
      <c r="O90" s="240">
        <f t="shared" si="5"/>
        <v>100</v>
      </c>
      <c r="P90" s="240">
        <f t="shared" si="6"/>
        <v>100</v>
      </c>
      <c r="Q90" s="240">
        <f t="shared" si="7"/>
        <v>0</v>
      </c>
      <c r="R90" s="240">
        <f t="shared" si="8"/>
        <v>100</v>
      </c>
    </row>
    <row r="91" spans="1:18" ht="17.25" customHeight="1" x14ac:dyDescent="0.2">
      <c r="A91" s="234"/>
      <c r="B91" s="235">
        <v>3</v>
      </c>
      <c r="C91" s="236">
        <v>4</v>
      </c>
      <c r="D91" s="237" t="s">
        <v>475</v>
      </c>
      <c r="E91" s="238">
        <v>121</v>
      </c>
      <c r="F91" s="239">
        <v>211</v>
      </c>
      <c r="G91" s="240"/>
      <c r="H91" s="240"/>
      <c r="I91" s="240">
        <v>20.883130000000001</v>
      </c>
      <c r="J91" s="240">
        <v>20.883130000000001</v>
      </c>
      <c r="K91" s="240"/>
      <c r="L91" s="240"/>
      <c r="M91" s="240">
        <f t="shared" si="3"/>
        <v>0</v>
      </c>
      <c r="N91" s="240"/>
      <c r="O91" s="240"/>
      <c r="P91" s="240"/>
      <c r="Q91" s="240"/>
      <c r="R91" s="240"/>
    </row>
    <row r="92" spans="1:18" ht="14.25" customHeight="1" x14ac:dyDescent="0.2">
      <c r="A92" s="234"/>
      <c r="B92" s="235">
        <v>3</v>
      </c>
      <c r="C92" s="236">
        <v>4</v>
      </c>
      <c r="D92" s="237" t="s">
        <v>475</v>
      </c>
      <c r="E92" s="238">
        <v>129</v>
      </c>
      <c r="F92" s="239">
        <v>213</v>
      </c>
      <c r="G92" s="240"/>
      <c r="H92" s="240"/>
      <c r="I92" s="240">
        <v>6.1168699999999996</v>
      </c>
      <c r="J92" s="240">
        <v>6.1168699999999996</v>
      </c>
      <c r="K92" s="240"/>
      <c r="L92" s="240"/>
      <c r="M92" s="240">
        <f t="shared" si="3"/>
        <v>0</v>
      </c>
      <c r="N92" s="240"/>
      <c r="O92" s="240"/>
      <c r="P92" s="240"/>
      <c r="Q92" s="240"/>
      <c r="R92" s="240"/>
    </row>
    <row r="93" spans="1:18" ht="32.25" customHeight="1" x14ac:dyDescent="0.2">
      <c r="A93" s="249" t="s">
        <v>476</v>
      </c>
      <c r="B93" s="250">
        <v>3</v>
      </c>
      <c r="C93" s="251">
        <v>9</v>
      </c>
      <c r="D93" s="252"/>
      <c r="E93" s="252"/>
      <c r="F93" s="253"/>
      <c r="G93" s="254">
        <f>G99+G94</f>
        <v>210</v>
      </c>
      <c r="H93" s="254">
        <f>H99+H94</f>
        <v>127.68</v>
      </c>
      <c r="I93" s="254">
        <f t="shared" ref="I93:J93" si="33">I99+I94</f>
        <v>127.68</v>
      </c>
      <c r="J93" s="254">
        <f t="shared" si="33"/>
        <v>127.68</v>
      </c>
      <c r="K93" s="254">
        <f>I93-H93</f>
        <v>0</v>
      </c>
      <c r="L93" s="254">
        <f t="shared" si="2"/>
        <v>100</v>
      </c>
      <c r="M93" s="254">
        <f t="shared" si="3"/>
        <v>0</v>
      </c>
      <c r="N93" s="254">
        <f t="shared" si="4"/>
        <v>100</v>
      </c>
      <c r="O93" s="254">
        <f t="shared" si="5"/>
        <v>60.8</v>
      </c>
      <c r="P93" s="254">
        <f t="shared" si="6"/>
        <v>100</v>
      </c>
      <c r="Q93" s="254">
        <f t="shared" si="7"/>
        <v>-82.32</v>
      </c>
      <c r="R93" s="254">
        <f t="shared" si="8"/>
        <v>60.8</v>
      </c>
    </row>
    <row r="94" spans="1:18" ht="48.75" customHeight="1" x14ac:dyDescent="0.2">
      <c r="A94" s="288" t="s">
        <v>477</v>
      </c>
      <c r="B94" s="289">
        <v>3</v>
      </c>
      <c r="C94" s="290">
        <v>9</v>
      </c>
      <c r="D94" s="291" t="s">
        <v>478</v>
      </c>
      <c r="E94" s="245"/>
      <c r="F94" s="246"/>
      <c r="G94" s="247">
        <f t="shared" ref="G94:J97" si="34">G95</f>
        <v>0</v>
      </c>
      <c r="H94" s="247">
        <f t="shared" si="34"/>
        <v>22</v>
      </c>
      <c r="I94" s="247">
        <f t="shared" si="34"/>
        <v>22</v>
      </c>
      <c r="J94" s="247">
        <f t="shared" si="34"/>
        <v>22</v>
      </c>
      <c r="K94" s="247">
        <f t="shared" si="1"/>
        <v>0</v>
      </c>
      <c r="L94" s="247">
        <f t="shared" si="2"/>
        <v>100</v>
      </c>
      <c r="M94" s="247">
        <f t="shared" si="3"/>
        <v>0</v>
      </c>
      <c r="N94" s="247">
        <f t="shared" si="4"/>
        <v>100</v>
      </c>
      <c r="O94" s="247">
        <v>0</v>
      </c>
      <c r="P94" s="247">
        <f t="shared" si="6"/>
        <v>100</v>
      </c>
      <c r="Q94" s="247">
        <f t="shared" si="7"/>
        <v>22</v>
      </c>
      <c r="R94" s="247">
        <v>100</v>
      </c>
    </row>
    <row r="95" spans="1:18" ht="56.25" x14ac:dyDescent="0.2">
      <c r="A95" s="234" t="s">
        <v>479</v>
      </c>
      <c r="B95" s="235">
        <v>3</v>
      </c>
      <c r="C95" s="236">
        <v>9</v>
      </c>
      <c r="D95" s="292" t="s">
        <v>480</v>
      </c>
      <c r="E95" s="238"/>
      <c r="F95" s="239"/>
      <c r="G95" s="240">
        <f t="shared" si="34"/>
        <v>0</v>
      </c>
      <c r="H95" s="240">
        <f t="shared" si="34"/>
        <v>22</v>
      </c>
      <c r="I95" s="240">
        <f t="shared" si="34"/>
        <v>22</v>
      </c>
      <c r="J95" s="240">
        <f t="shared" si="34"/>
        <v>22</v>
      </c>
      <c r="K95" s="240">
        <f t="shared" si="1"/>
        <v>0</v>
      </c>
      <c r="L95" s="240">
        <f t="shared" si="2"/>
        <v>100</v>
      </c>
      <c r="M95" s="240">
        <f t="shared" si="3"/>
        <v>0</v>
      </c>
      <c r="N95" s="240">
        <f t="shared" si="4"/>
        <v>100</v>
      </c>
      <c r="O95" s="240">
        <v>0</v>
      </c>
      <c r="P95" s="240">
        <f t="shared" si="6"/>
        <v>100</v>
      </c>
      <c r="Q95" s="240">
        <f t="shared" si="7"/>
        <v>22</v>
      </c>
      <c r="R95" s="240">
        <v>100</v>
      </c>
    </row>
    <row r="96" spans="1:18" x14ac:dyDescent="0.2">
      <c r="A96" s="234" t="s">
        <v>481</v>
      </c>
      <c r="B96" s="235">
        <v>3</v>
      </c>
      <c r="C96" s="236">
        <v>9</v>
      </c>
      <c r="D96" s="292" t="s">
        <v>482</v>
      </c>
      <c r="E96" s="238"/>
      <c r="F96" s="239"/>
      <c r="G96" s="240">
        <f t="shared" si="34"/>
        <v>0</v>
      </c>
      <c r="H96" s="240">
        <f t="shared" si="34"/>
        <v>22</v>
      </c>
      <c r="I96" s="240">
        <f t="shared" si="34"/>
        <v>22</v>
      </c>
      <c r="J96" s="240">
        <f t="shared" si="34"/>
        <v>22</v>
      </c>
      <c r="K96" s="240">
        <f t="shared" si="1"/>
        <v>0</v>
      </c>
      <c r="L96" s="240">
        <f t="shared" si="2"/>
        <v>100</v>
      </c>
      <c r="M96" s="240">
        <f t="shared" si="3"/>
        <v>0</v>
      </c>
      <c r="N96" s="240">
        <f t="shared" si="4"/>
        <v>100</v>
      </c>
      <c r="O96" s="240">
        <v>0</v>
      </c>
      <c r="P96" s="240">
        <f t="shared" si="6"/>
        <v>100</v>
      </c>
      <c r="Q96" s="240">
        <f t="shared" si="7"/>
        <v>22</v>
      </c>
      <c r="R96" s="240">
        <v>100</v>
      </c>
    </row>
    <row r="97" spans="1:20" ht="22.5" x14ac:dyDescent="0.2">
      <c r="A97" s="234" t="s">
        <v>442</v>
      </c>
      <c r="B97" s="235">
        <v>3</v>
      </c>
      <c r="C97" s="236">
        <v>9</v>
      </c>
      <c r="D97" s="292" t="s">
        <v>482</v>
      </c>
      <c r="E97" s="238">
        <v>200</v>
      </c>
      <c r="F97" s="239"/>
      <c r="G97" s="240">
        <f t="shared" si="34"/>
        <v>0</v>
      </c>
      <c r="H97" s="240">
        <f t="shared" si="34"/>
        <v>22</v>
      </c>
      <c r="I97" s="240">
        <f t="shared" si="34"/>
        <v>22</v>
      </c>
      <c r="J97" s="240">
        <f t="shared" si="34"/>
        <v>22</v>
      </c>
      <c r="K97" s="240">
        <f t="shared" ref="K97:K176" si="35">I97-H97</f>
        <v>0</v>
      </c>
      <c r="L97" s="240">
        <f t="shared" ref="L97:L176" si="36">I97/H97*100</f>
        <v>100</v>
      </c>
      <c r="M97" s="240">
        <f t="shared" ref="M97:M176" si="37">I97-J97</f>
        <v>0</v>
      </c>
      <c r="N97" s="240">
        <f t="shared" ref="N97:N176" si="38">J97/I97*100</f>
        <v>100</v>
      </c>
      <c r="O97" s="240">
        <v>0</v>
      </c>
      <c r="P97" s="240">
        <f t="shared" ref="P97:P176" si="39">J97/H97*100</f>
        <v>100</v>
      </c>
      <c r="Q97" s="240">
        <f t="shared" ref="Q97:Q176" si="40">H97-G97</f>
        <v>22</v>
      </c>
      <c r="R97" s="240">
        <v>100</v>
      </c>
    </row>
    <row r="98" spans="1:20" ht="22.5" x14ac:dyDescent="0.2">
      <c r="A98" s="234" t="s">
        <v>483</v>
      </c>
      <c r="B98" s="235">
        <v>3</v>
      </c>
      <c r="C98" s="236">
        <v>9</v>
      </c>
      <c r="D98" s="292" t="s">
        <v>482</v>
      </c>
      <c r="E98" s="238">
        <v>244</v>
      </c>
      <c r="F98" s="239">
        <v>340</v>
      </c>
      <c r="G98" s="240"/>
      <c r="H98" s="240">
        <v>22</v>
      </c>
      <c r="I98" s="240">
        <v>22</v>
      </c>
      <c r="J98" s="240">
        <v>22</v>
      </c>
      <c r="K98" s="240">
        <f t="shared" si="35"/>
        <v>0</v>
      </c>
      <c r="L98" s="240">
        <f t="shared" si="36"/>
        <v>100</v>
      </c>
      <c r="M98" s="240">
        <f t="shared" si="37"/>
        <v>0</v>
      </c>
      <c r="N98" s="240">
        <f t="shared" si="38"/>
        <v>100</v>
      </c>
      <c r="O98" s="240">
        <v>0</v>
      </c>
      <c r="P98" s="240">
        <f t="shared" si="39"/>
        <v>100</v>
      </c>
      <c r="Q98" s="240">
        <f t="shared" si="40"/>
        <v>22</v>
      </c>
      <c r="R98" s="240">
        <v>100</v>
      </c>
    </row>
    <row r="99" spans="1:20" x14ac:dyDescent="0.2">
      <c r="A99" s="293" t="s">
        <v>428</v>
      </c>
      <c r="B99" s="289">
        <v>3</v>
      </c>
      <c r="C99" s="290">
        <v>9</v>
      </c>
      <c r="D99" s="294" t="s">
        <v>429</v>
      </c>
      <c r="E99" s="245"/>
      <c r="F99" s="246"/>
      <c r="G99" s="247">
        <f>G100+G107</f>
        <v>210</v>
      </c>
      <c r="H99" s="247">
        <f>H100+H107</f>
        <v>105.68</v>
      </c>
      <c r="I99" s="247">
        <f t="shared" ref="I99:J99" si="41">I100+I107</f>
        <v>105.68</v>
      </c>
      <c r="J99" s="247">
        <f t="shared" si="41"/>
        <v>105.68</v>
      </c>
      <c r="K99" s="247">
        <f t="shared" si="35"/>
        <v>0</v>
      </c>
      <c r="L99" s="247">
        <f t="shared" si="36"/>
        <v>100</v>
      </c>
      <c r="M99" s="247">
        <f t="shared" si="37"/>
        <v>0</v>
      </c>
      <c r="N99" s="247">
        <f t="shared" si="38"/>
        <v>100</v>
      </c>
      <c r="O99" s="247">
        <f t="shared" ref="O99:O176" si="42">J99/G99*100</f>
        <v>50.32380952380953</v>
      </c>
      <c r="P99" s="247">
        <f t="shared" si="39"/>
        <v>100</v>
      </c>
      <c r="Q99" s="247">
        <f t="shared" si="40"/>
        <v>-104.32</v>
      </c>
      <c r="R99" s="247">
        <f t="shared" ref="R99:R176" si="43">H99/G99*100</f>
        <v>50.32380952380953</v>
      </c>
    </row>
    <row r="100" spans="1:20" ht="46.5" customHeight="1" x14ac:dyDescent="0.2">
      <c r="A100" s="234" t="s">
        <v>484</v>
      </c>
      <c r="B100" s="235">
        <v>3</v>
      </c>
      <c r="C100" s="236">
        <v>9</v>
      </c>
      <c r="D100" s="238" t="s">
        <v>485</v>
      </c>
      <c r="E100" s="238"/>
      <c r="F100" s="239"/>
      <c r="G100" s="240">
        <f>G101</f>
        <v>210</v>
      </c>
      <c r="H100" s="240">
        <f>H101</f>
        <v>93.68</v>
      </c>
      <c r="I100" s="240">
        <f t="shared" ref="I100:J101" si="44">I101</f>
        <v>93.68</v>
      </c>
      <c r="J100" s="240">
        <f t="shared" si="44"/>
        <v>93.68</v>
      </c>
      <c r="K100" s="240">
        <f t="shared" si="35"/>
        <v>0</v>
      </c>
      <c r="L100" s="240">
        <f t="shared" si="36"/>
        <v>100</v>
      </c>
      <c r="M100" s="240">
        <f t="shared" si="37"/>
        <v>0</v>
      </c>
      <c r="N100" s="240">
        <f t="shared" si="38"/>
        <v>100</v>
      </c>
      <c r="O100" s="240">
        <f t="shared" si="42"/>
        <v>44.609523809523807</v>
      </c>
      <c r="P100" s="240">
        <f t="shared" si="39"/>
        <v>100</v>
      </c>
      <c r="Q100" s="240">
        <f t="shared" si="40"/>
        <v>-116.32</v>
      </c>
      <c r="R100" s="240">
        <f t="shared" si="43"/>
        <v>44.609523809523807</v>
      </c>
    </row>
    <row r="101" spans="1:20" ht="33.75" x14ac:dyDescent="0.2">
      <c r="A101" s="234" t="s">
        <v>486</v>
      </c>
      <c r="B101" s="235">
        <v>3</v>
      </c>
      <c r="C101" s="236">
        <v>9</v>
      </c>
      <c r="D101" s="238" t="s">
        <v>487</v>
      </c>
      <c r="E101" s="238"/>
      <c r="F101" s="239"/>
      <c r="G101" s="240">
        <f>G102</f>
        <v>210</v>
      </c>
      <c r="H101" s="240">
        <f>H102</f>
        <v>93.68</v>
      </c>
      <c r="I101" s="240">
        <f t="shared" si="44"/>
        <v>93.68</v>
      </c>
      <c r="J101" s="240">
        <f t="shared" si="44"/>
        <v>93.68</v>
      </c>
      <c r="K101" s="240">
        <f t="shared" si="35"/>
        <v>0</v>
      </c>
      <c r="L101" s="240">
        <f t="shared" si="36"/>
        <v>100</v>
      </c>
      <c r="M101" s="240">
        <f t="shared" si="37"/>
        <v>0</v>
      </c>
      <c r="N101" s="240">
        <f t="shared" si="38"/>
        <v>100</v>
      </c>
      <c r="O101" s="240">
        <f t="shared" si="42"/>
        <v>44.609523809523807</v>
      </c>
      <c r="P101" s="240">
        <f t="shared" si="39"/>
        <v>100</v>
      </c>
      <c r="Q101" s="240">
        <f t="shared" si="40"/>
        <v>-116.32</v>
      </c>
      <c r="R101" s="240">
        <f t="shared" si="43"/>
        <v>44.609523809523807</v>
      </c>
    </row>
    <row r="102" spans="1:20" ht="22.5" x14ac:dyDescent="0.2">
      <c r="A102" s="234" t="s">
        <v>442</v>
      </c>
      <c r="B102" s="235">
        <v>3</v>
      </c>
      <c r="C102" s="236">
        <v>9</v>
      </c>
      <c r="D102" s="238" t="s">
        <v>487</v>
      </c>
      <c r="E102" s="238">
        <v>200</v>
      </c>
      <c r="F102" s="239"/>
      <c r="G102" s="240">
        <f>SUM(G103:G106)</f>
        <v>210</v>
      </c>
      <c r="H102" s="240">
        <f>SUM(H103:H106)</f>
        <v>93.68</v>
      </c>
      <c r="I102" s="240">
        <f>I103+I106</f>
        <v>93.68</v>
      </c>
      <c r="J102" s="240">
        <f>J103+J106</f>
        <v>93.68</v>
      </c>
      <c r="K102" s="240">
        <f t="shared" si="35"/>
        <v>0</v>
      </c>
      <c r="L102" s="240">
        <f t="shared" si="36"/>
        <v>100</v>
      </c>
      <c r="M102" s="240">
        <f t="shared" si="37"/>
        <v>0</v>
      </c>
      <c r="N102" s="240">
        <f t="shared" si="38"/>
        <v>100</v>
      </c>
      <c r="O102" s="240">
        <f t="shared" si="42"/>
        <v>44.609523809523807</v>
      </c>
      <c r="P102" s="240">
        <f t="shared" si="39"/>
        <v>100</v>
      </c>
      <c r="Q102" s="240">
        <f t="shared" si="40"/>
        <v>-116.32</v>
      </c>
      <c r="R102" s="240">
        <f t="shared" si="43"/>
        <v>44.609523809523807</v>
      </c>
    </row>
    <row r="103" spans="1:20" ht="33.75" x14ac:dyDescent="0.2">
      <c r="A103" s="234" t="s">
        <v>488</v>
      </c>
      <c r="B103" s="235">
        <v>3</v>
      </c>
      <c r="C103" s="236">
        <v>9</v>
      </c>
      <c r="D103" s="238" t="s">
        <v>487</v>
      </c>
      <c r="E103" s="238">
        <v>230</v>
      </c>
      <c r="F103" s="239"/>
      <c r="G103" s="240"/>
      <c r="H103" s="240">
        <v>92</v>
      </c>
      <c r="I103" s="240">
        <f>I104+I105</f>
        <v>92</v>
      </c>
      <c r="J103" s="240">
        <f>J104+J105</f>
        <v>92</v>
      </c>
      <c r="K103" s="240">
        <f t="shared" si="35"/>
        <v>0</v>
      </c>
      <c r="L103" s="240">
        <f t="shared" si="36"/>
        <v>100</v>
      </c>
      <c r="M103" s="240">
        <f t="shared" si="37"/>
        <v>0</v>
      </c>
      <c r="N103" s="240">
        <f t="shared" si="38"/>
        <v>100</v>
      </c>
      <c r="O103" s="240">
        <v>0</v>
      </c>
      <c r="P103" s="240">
        <f t="shared" si="39"/>
        <v>100</v>
      </c>
      <c r="Q103" s="240">
        <f t="shared" si="40"/>
        <v>92</v>
      </c>
      <c r="R103" s="240">
        <v>100</v>
      </c>
    </row>
    <row r="104" spans="1:20" ht="14.25" customHeight="1" x14ac:dyDescent="0.2">
      <c r="A104" s="234"/>
      <c r="B104" s="235">
        <v>3</v>
      </c>
      <c r="C104" s="236">
        <v>9</v>
      </c>
      <c r="D104" s="238" t="s">
        <v>487</v>
      </c>
      <c r="E104" s="238">
        <v>232</v>
      </c>
      <c r="F104" s="239">
        <v>310</v>
      </c>
      <c r="G104" s="240"/>
      <c r="H104" s="240"/>
      <c r="I104" s="240">
        <v>78</v>
      </c>
      <c r="J104" s="240">
        <v>78</v>
      </c>
      <c r="K104" s="240"/>
      <c r="L104" s="240"/>
      <c r="M104" s="240">
        <f t="shared" si="37"/>
        <v>0</v>
      </c>
      <c r="N104" s="240"/>
      <c r="O104" s="240"/>
      <c r="P104" s="240"/>
      <c r="Q104" s="240"/>
      <c r="R104" s="240"/>
    </row>
    <row r="105" spans="1:20" ht="13.5" customHeight="1" x14ac:dyDescent="0.2">
      <c r="A105" s="234"/>
      <c r="B105" s="235">
        <v>3</v>
      </c>
      <c r="C105" s="236">
        <v>9</v>
      </c>
      <c r="D105" s="238" t="s">
        <v>487</v>
      </c>
      <c r="E105" s="238">
        <v>232</v>
      </c>
      <c r="F105" s="239">
        <v>340</v>
      </c>
      <c r="G105" s="240"/>
      <c r="H105" s="240"/>
      <c r="I105" s="240">
        <v>14</v>
      </c>
      <c r="J105" s="240">
        <v>14</v>
      </c>
      <c r="K105" s="240"/>
      <c r="L105" s="240"/>
      <c r="M105" s="240">
        <f t="shared" si="37"/>
        <v>0</v>
      </c>
      <c r="N105" s="240"/>
      <c r="O105" s="240"/>
      <c r="P105" s="240"/>
      <c r="Q105" s="240"/>
      <c r="R105" s="240"/>
    </row>
    <row r="106" spans="1:20" ht="33.75" x14ac:dyDescent="0.2">
      <c r="A106" s="234" t="s">
        <v>443</v>
      </c>
      <c r="B106" s="235">
        <v>3</v>
      </c>
      <c r="C106" s="236">
        <v>9</v>
      </c>
      <c r="D106" s="238" t="s">
        <v>487</v>
      </c>
      <c r="E106" s="238">
        <v>244</v>
      </c>
      <c r="F106" s="239">
        <v>340</v>
      </c>
      <c r="G106" s="240">
        <v>210</v>
      </c>
      <c r="H106" s="240">
        <v>1.68</v>
      </c>
      <c r="I106" s="240">
        <v>1.68</v>
      </c>
      <c r="J106" s="240">
        <v>1.68</v>
      </c>
      <c r="K106" s="240">
        <f t="shared" si="35"/>
        <v>0</v>
      </c>
      <c r="L106" s="240">
        <f t="shared" si="36"/>
        <v>100</v>
      </c>
      <c r="M106" s="240">
        <f t="shared" si="37"/>
        <v>0</v>
      </c>
      <c r="N106" s="240">
        <f t="shared" si="38"/>
        <v>100</v>
      </c>
      <c r="O106" s="240">
        <f t="shared" si="42"/>
        <v>0.8</v>
      </c>
      <c r="P106" s="240">
        <f t="shared" si="39"/>
        <v>100</v>
      </c>
      <c r="Q106" s="240">
        <f t="shared" si="40"/>
        <v>-208.32</v>
      </c>
      <c r="R106" s="240">
        <f t="shared" si="43"/>
        <v>0.8</v>
      </c>
    </row>
    <row r="107" spans="1:20" x14ac:dyDescent="0.2">
      <c r="A107" s="234" t="s">
        <v>489</v>
      </c>
      <c r="B107" s="235">
        <v>3</v>
      </c>
      <c r="C107" s="236">
        <v>9</v>
      </c>
      <c r="D107" s="238" t="s">
        <v>490</v>
      </c>
      <c r="E107" s="238"/>
      <c r="F107" s="239"/>
      <c r="G107" s="240">
        <f>G108</f>
        <v>0</v>
      </c>
      <c r="H107" s="240">
        <f>H108</f>
        <v>12</v>
      </c>
      <c r="I107" s="240">
        <f t="shared" ref="I107:J108" si="45">I108</f>
        <v>12</v>
      </c>
      <c r="J107" s="240">
        <f t="shared" si="45"/>
        <v>12</v>
      </c>
      <c r="K107" s="240">
        <f t="shared" si="35"/>
        <v>0</v>
      </c>
      <c r="L107" s="240">
        <f t="shared" si="36"/>
        <v>100</v>
      </c>
      <c r="M107" s="240">
        <f t="shared" si="37"/>
        <v>0</v>
      </c>
      <c r="N107" s="240">
        <f t="shared" si="38"/>
        <v>100</v>
      </c>
      <c r="O107" s="240">
        <v>0</v>
      </c>
      <c r="P107" s="240">
        <f t="shared" si="39"/>
        <v>100</v>
      </c>
      <c r="Q107" s="240">
        <f t="shared" si="40"/>
        <v>12</v>
      </c>
      <c r="R107" s="240">
        <v>100</v>
      </c>
    </row>
    <row r="108" spans="1:20" ht="22.5" x14ac:dyDescent="0.2">
      <c r="A108" s="234" t="s">
        <v>442</v>
      </c>
      <c r="B108" s="235">
        <v>3</v>
      </c>
      <c r="C108" s="236">
        <v>9</v>
      </c>
      <c r="D108" s="238" t="s">
        <v>490</v>
      </c>
      <c r="E108" s="238">
        <v>200</v>
      </c>
      <c r="F108" s="239"/>
      <c r="G108" s="240">
        <f>G109</f>
        <v>0</v>
      </c>
      <c r="H108" s="240">
        <f>H109</f>
        <v>12</v>
      </c>
      <c r="I108" s="240">
        <f t="shared" si="45"/>
        <v>12</v>
      </c>
      <c r="J108" s="240">
        <f t="shared" si="45"/>
        <v>12</v>
      </c>
      <c r="K108" s="240">
        <f t="shared" si="35"/>
        <v>0</v>
      </c>
      <c r="L108" s="240">
        <f t="shared" si="36"/>
        <v>100</v>
      </c>
      <c r="M108" s="240">
        <f t="shared" si="37"/>
        <v>0</v>
      </c>
      <c r="N108" s="240">
        <f t="shared" si="38"/>
        <v>100</v>
      </c>
      <c r="O108" s="240">
        <v>0</v>
      </c>
      <c r="P108" s="240">
        <f t="shared" si="39"/>
        <v>100</v>
      </c>
      <c r="Q108" s="240">
        <f t="shared" si="40"/>
        <v>12</v>
      </c>
      <c r="R108" s="240">
        <v>100</v>
      </c>
    </row>
    <row r="109" spans="1:20" ht="34.5" thickBot="1" x14ac:dyDescent="0.25">
      <c r="A109" s="234" t="s">
        <v>443</v>
      </c>
      <c r="B109" s="235">
        <v>3</v>
      </c>
      <c r="C109" s="236">
        <v>9</v>
      </c>
      <c r="D109" s="238" t="s">
        <v>490</v>
      </c>
      <c r="E109" s="238">
        <v>244</v>
      </c>
      <c r="F109" s="239">
        <v>225</v>
      </c>
      <c r="G109" s="240"/>
      <c r="H109" s="240">
        <v>12</v>
      </c>
      <c r="I109" s="240">
        <v>12</v>
      </c>
      <c r="J109" s="240">
        <v>12</v>
      </c>
      <c r="K109" s="240">
        <f t="shared" si="35"/>
        <v>0</v>
      </c>
      <c r="L109" s="240">
        <f t="shared" si="36"/>
        <v>100</v>
      </c>
      <c r="M109" s="240">
        <f t="shared" si="37"/>
        <v>0</v>
      </c>
      <c r="N109" s="240">
        <f t="shared" si="38"/>
        <v>100</v>
      </c>
      <c r="O109" s="240">
        <v>0</v>
      </c>
      <c r="P109" s="240">
        <f t="shared" si="39"/>
        <v>100</v>
      </c>
      <c r="Q109" s="240">
        <f t="shared" si="40"/>
        <v>12</v>
      </c>
      <c r="R109" s="240">
        <v>100</v>
      </c>
    </row>
    <row r="110" spans="1:20" ht="13.5" thickBot="1" x14ac:dyDescent="0.25">
      <c r="A110" s="220" t="s">
        <v>491</v>
      </c>
      <c r="B110" s="221">
        <v>4</v>
      </c>
      <c r="C110" s="222"/>
      <c r="D110" s="223"/>
      <c r="E110" s="224"/>
      <c r="F110" s="225"/>
      <c r="G110" s="226">
        <f>G125+G131+G149+G111</f>
        <v>3875.8</v>
      </c>
      <c r="H110" s="226">
        <f>H125+H131+H149+H111</f>
        <v>6114.73</v>
      </c>
      <c r="I110" s="226">
        <f>I125+I131+I149+I111</f>
        <v>6114.7268400000003</v>
      </c>
      <c r="J110" s="226">
        <f>J125+J131+J149+J111</f>
        <v>5613.3386399999999</v>
      </c>
      <c r="K110" s="226">
        <f t="shared" si="35"/>
        <v>-3.1599999992977246E-3</v>
      </c>
      <c r="L110" s="226">
        <f t="shared" si="36"/>
        <v>99.999948321512164</v>
      </c>
      <c r="M110" s="226">
        <f t="shared" si="37"/>
        <v>501.38820000000032</v>
      </c>
      <c r="N110" s="226">
        <f t="shared" si="38"/>
        <v>91.800317281221339</v>
      </c>
      <c r="O110" s="226">
        <f t="shared" si="42"/>
        <v>144.83045151968625</v>
      </c>
      <c r="P110" s="226">
        <f t="shared" si="39"/>
        <v>91.800269840205544</v>
      </c>
      <c r="Q110" s="226">
        <f t="shared" si="40"/>
        <v>2238.9299999999994</v>
      </c>
      <c r="R110" s="226">
        <f t="shared" si="43"/>
        <v>157.76691263739099</v>
      </c>
    </row>
    <row r="111" spans="1:20" s="297" customFormat="1" x14ac:dyDescent="0.2">
      <c r="A111" s="295" t="s">
        <v>277</v>
      </c>
      <c r="B111" s="250">
        <v>4</v>
      </c>
      <c r="C111" s="251">
        <v>1</v>
      </c>
      <c r="D111" s="255"/>
      <c r="E111" s="252"/>
      <c r="F111" s="253"/>
      <c r="G111" s="254">
        <f t="shared" ref="G111:J113" si="46">G112</f>
        <v>0</v>
      </c>
      <c r="H111" s="254">
        <f t="shared" si="46"/>
        <v>1976.44</v>
      </c>
      <c r="I111" s="254">
        <f t="shared" si="46"/>
        <v>1976.44013</v>
      </c>
      <c r="J111" s="254">
        <f t="shared" si="46"/>
        <v>1976.44013</v>
      </c>
      <c r="K111" s="254">
        <f t="shared" si="35"/>
        <v>1.2999999989915523E-4</v>
      </c>
      <c r="L111" s="254">
        <f t="shared" si="36"/>
        <v>100.00000657748274</v>
      </c>
      <c r="M111" s="254">
        <f t="shared" si="37"/>
        <v>0</v>
      </c>
      <c r="N111" s="254">
        <f t="shared" si="38"/>
        <v>100</v>
      </c>
      <c r="O111" s="254">
        <v>0</v>
      </c>
      <c r="P111" s="254">
        <f t="shared" si="39"/>
        <v>100.00000657748274</v>
      </c>
      <c r="Q111" s="254">
        <f t="shared" si="40"/>
        <v>1976.44</v>
      </c>
      <c r="R111" s="254">
        <v>100</v>
      </c>
      <c r="S111" s="296"/>
      <c r="T111" s="296"/>
    </row>
    <row r="112" spans="1:20" ht="56.25" customHeight="1" x14ac:dyDescent="0.2">
      <c r="A112" s="234" t="s">
        <v>492</v>
      </c>
      <c r="B112" s="298">
        <v>4</v>
      </c>
      <c r="C112" s="299">
        <v>1</v>
      </c>
      <c r="D112" s="257" t="s">
        <v>493</v>
      </c>
      <c r="E112" s="300"/>
      <c r="F112" s="301"/>
      <c r="G112" s="302">
        <f t="shared" si="46"/>
        <v>0</v>
      </c>
      <c r="H112" s="302">
        <f t="shared" si="46"/>
        <v>1976.44</v>
      </c>
      <c r="I112" s="302">
        <f t="shared" si="46"/>
        <v>1976.44013</v>
      </c>
      <c r="J112" s="302">
        <f t="shared" si="46"/>
        <v>1976.44013</v>
      </c>
      <c r="K112" s="302">
        <f t="shared" si="35"/>
        <v>1.2999999989915523E-4</v>
      </c>
      <c r="L112" s="302">
        <f t="shared" si="36"/>
        <v>100.00000657748274</v>
      </c>
      <c r="M112" s="302">
        <f t="shared" si="37"/>
        <v>0</v>
      </c>
      <c r="N112" s="302">
        <f t="shared" si="38"/>
        <v>100</v>
      </c>
      <c r="O112" s="302">
        <v>0</v>
      </c>
      <c r="P112" s="302">
        <f t="shared" si="39"/>
        <v>100.00000657748274</v>
      </c>
      <c r="Q112" s="302">
        <f t="shared" si="40"/>
        <v>1976.44</v>
      </c>
      <c r="R112" s="302">
        <v>100</v>
      </c>
    </row>
    <row r="113" spans="1:18" ht="23.25" customHeight="1" x14ac:dyDescent="0.2">
      <c r="A113" s="234" t="s">
        <v>494</v>
      </c>
      <c r="B113" s="298">
        <v>4</v>
      </c>
      <c r="C113" s="299">
        <v>1</v>
      </c>
      <c r="D113" s="257" t="s">
        <v>495</v>
      </c>
      <c r="E113" s="300"/>
      <c r="F113" s="301"/>
      <c r="G113" s="302">
        <f t="shared" si="46"/>
        <v>0</v>
      </c>
      <c r="H113" s="302">
        <f t="shared" si="46"/>
        <v>1976.44</v>
      </c>
      <c r="I113" s="302">
        <f t="shared" si="46"/>
        <v>1976.44013</v>
      </c>
      <c r="J113" s="302">
        <f t="shared" si="46"/>
        <v>1976.44013</v>
      </c>
      <c r="K113" s="302">
        <f t="shared" si="35"/>
        <v>1.2999999989915523E-4</v>
      </c>
      <c r="L113" s="302">
        <f t="shared" si="36"/>
        <v>100.00000657748274</v>
      </c>
      <c r="M113" s="302">
        <f t="shared" si="37"/>
        <v>0</v>
      </c>
      <c r="N113" s="302">
        <f t="shared" si="38"/>
        <v>100</v>
      </c>
      <c r="O113" s="302">
        <v>0</v>
      </c>
      <c r="P113" s="302">
        <f t="shared" si="39"/>
        <v>100.00000657748274</v>
      </c>
      <c r="Q113" s="302">
        <f t="shared" si="40"/>
        <v>1976.44</v>
      </c>
      <c r="R113" s="302">
        <v>100</v>
      </c>
    </row>
    <row r="114" spans="1:18" ht="24" customHeight="1" x14ac:dyDescent="0.2">
      <c r="A114" s="303" t="s">
        <v>496</v>
      </c>
      <c r="B114" s="298">
        <v>4</v>
      </c>
      <c r="C114" s="299">
        <v>1</v>
      </c>
      <c r="D114" s="257" t="s">
        <v>497</v>
      </c>
      <c r="E114" s="300"/>
      <c r="F114" s="301"/>
      <c r="G114" s="302">
        <f>G115+G120</f>
        <v>0</v>
      </c>
      <c r="H114" s="302">
        <f>H115+H120</f>
        <v>1976.44</v>
      </c>
      <c r="I114" s="302">
        <f>I115+I120</f>
        <v>1976.44013</v>
      </c>
      <c r="J114" s="302">
        <f>J115+J120</f>
        <v>1976.44013</v>
      </c>
      <c r="K114" s="302">
        <f t="shared" si="35"/>
        <v>1.2999999989915523E-4</v>
      </c>
      <c r="L114" s="302">
        <f t="shared" si="36"/>
        <v>100.00000657748274</v>
      </c>
      <c r="M114" s="302">
        <f t="shared" si="37"/>
        <v>0</v>
      </c>
      <c r="N114" s="302">
        <f t="shared" si="38"/>
        <v>100</v>
      </c>
      <c r="O114" s="302">
        <v>0</v>
      </c>
      <c r="P114" s="302">
        <f t="shared" si="39"/>
        <v>100.00000657748274</v>
      </c>
      <c r="Q114" s="302">
        <f t="shared" si="40"/>
        <v>1976.44</v>
      </c>
      <c r="R114" s="302">
        <v>100</v>
      </c>
    </row>
    <row r="115" spans="1:18" ht="22.5" x14ac:dyDescent="0.2">
      <c r="A115" s="234" t="s">
        <v>498</v>
      </c>
      <c r="B115" s="298">
        <v>4</v>
      </c>
      <c r="C115" s="299">
        <v>1</v>
      </c>
      <c r="D115" s="257" t="s">
        <v>499</v>
      </c>
      <c r="E115" s="300" t="s">
        <v>457</v>
      </c>
      <c r="F115" s="301"/>
      <c r="G115" s="302">
        <f>G117</f>
        <v>0</v>
      </c>
      <c r="H115" s="302">
        <f>H117</f>
        <v>720.81</v>
      </c>
      <c r="I115" s="302">
        <f t="shared" ref="I115:J115" si="47">I117</f>
        <v>720.80889999999999</v>
      </c>
      <c r="J115" s="302">
        <f t="shared" si="47"/>
        <v>720.80889999999999</v>
      </c>
      <c r="K115" s="302">
        <f t="shared" si="35"/>
        <v>-1.0999999999512511E-3</v>
      </c>
      <c r="L115" s="302">
        <f t="shared" si="36"/>
        <v>99.999847393904091</v>
      </c>
      <c r="M115" s="302">
        <f t="shared" si="37"/>
        <v>0</v>
      </c>
      <c r="N115" s="302">
        <f t="shared" si="38"/>
        <v>100</v>
      </c>
      <c r="O115" s="302">
        <v>0</v>
      </c>
      <c r="P115" s="302">
        <f t="shared" si="39"/>
        <v>99.999847393904091</v>
      </c>
      <c r="Q115" s="302">
        <f t="shared" si="40"/>
        <v>720.81</v>
      </c>
      <c r="R115" s="302">
        <v>100</v>
      </c>
    </row>
    <row r="116" spans="1:18" ht="42.75" customHeight="1" x14ac:dyDescent="0.2">
      <c r="A116" s="248" t="s">
        <v>434</v>
      </c>
      <c r="B116" s="298">
        <v>4</v>
      </c>
      <c r="C116" s="299">
        <v>1</v>
      </c>
      <c r="D116" s="257" t="s">
        <v>499</v>
      </c>
      <c r="E116" s="238">
        <v>100</v>
      </c>
      <c r="F116" s="239"/>
      <c r="G116" s="240">
        <f>G117</f>
        <v>0</v>
      </c>
      <c r="H116" s="240">
        <f>H117</f>
        <v>720.81</v>
      </c>
      <c r="I116" s="240">
        <f t="shared" ref="I116:J116" si="48">I117</f>
        <v>720.80889999999999</v>
      </c>
      <c r="J116" s="240">
        <f t="shared" si="48"/>
        <v>720.80889999999999</v>
      </c>
      <c r="K116" s="240">
        <f t="shared" si="35"/>
        <v>-1.0999999999512511E-3</v>
      </c>
      <c r="L116" s="240">
        <f t="shared" si="36"/>
        <v>99.999847393904091</v>
      </c>
      <c r="M116" s="240">
        <f t="shared" si="37"/>
        <v>0</v>
      </c>
      <c r="N116" s="240">
        <f t="shared" si="38"/>
        <v>100</v>
      </c>
      <c r="O116" s="240">
        <v>0</v>
      </c>
      <c r="P116" s="240">
        <f t="shared" si="39"/>
        <v>99.999847393904091</v>
      </c>
      <c r="Q116" s="240">
        <f t="shared" si="40"/>
        <v>720.81</v>
      </c>
      <c r="R116" s="240">
        <v>100</v>
      </c>
    </row>
    <row r="117" spans="1:18" ht="22.5" x14ac:dyDescent="0.2">
      <c r="A117" s="234" t="s">
        <v>500</v>
      </c>
      <c r="B117" s="298">
        <v>4</v>
      </c>
      <c r="C117" s="299">
        <v>1</v>
      </c>
      <c r="D117" s="257" t="s">
        <v>499</v>
      </c>
      <c r="E117" s="300">
        <v>110</v>
      </c>
      <c r="F117" s="301"/>
      <c r="G117" s="302"/>
      <c r="H117" s="302">
        <v>720.81</v>
      </c>
      <c r="I117" s="302">
        <f>I118+I119</f>
        <v>720.80889999999999</v>
      </c>
      <c r="J117" s="302">
        <f>J118+J119</f>
        <v>720.80889999999999</v>
      </c>
      <c r="K117" s="302">
        <f t="shared" si="35"/>
        <v>-1.0999999999512511E-3</v>
      </c>
      <c r="L117" s="302">
        <f t="shared" si="36"/>
        <v>99.999847393904091</v>
      </c>
      <c r="M117" s="302">
        <f t="shared" si="37"/>
        <v>0</v>
      </c>
      <c r="N117" s="302">
        <f t="shared" si="38"/>
        <v>100</v>
      </c>
      <c r="O117" s="302">
        <v>0</v>
      </c>
      <c r="P117" s="302">
        <f t="shared" si="39"/>
        <v>99.999847393904091</v>
      </c>
      <c r="Q117" s="302">
        <f t="shared" si="40"/>
        <v>720.81</v>
      </c>
      <c r="R117" s="302">
        <v>100</v>
      </c>
    </row>
    <row r="118" spans="1:18" ht="14.25" customHeight="1" x14ac:dyDescent="0.2">
      <c r="A118" s="266"/>
      <c r="B118" s="298">
        <v>4</v>
      </c>
      <c r="C118" s="299">
        <v>1</v>
      </c>
      <c r="D118" s="257" t="s">
        <v>499</v>
      </c>
      <c r="E118" s="304">
        <v>111</v>
      </c>
      <c r="F118" s="305">
        <v>211</v>
      </c>
      <c r="G118" s="306"/>
      <c r="H118" s="306"/>
      <c r="I118" s="306">
        <v>582.83150000000001</v>
      </c>
      <c r="J118" s="306">
        <v>582.83150000000001</v>
      </c>
      <c r="K118" s="306"/>
      <c r="L118" s="306"/>
      <c r="M118" s="302">
        <f t="shared" si="37"/>
        <v>0</v>
      </c>
      <c r="N118" s="306"/>
      <c r="O118" s="306"/>
      <c r="P118" s="306"/>
      <c r="Q118" s="306"/>
      <c r="R118" s="306"/>
    </row>
    <row r="119" spans="1:18" ht="16.5" customHeight="1" x14ac:dyDescent="0.2">
      <c r="A119" s="266"/>
      <c r="B119" s="298">
        <v>4</v>
      </c>
      <c r="C119" s="299">
        <v>1</v>
      </c>
      <c r="D119" s="257" t="s">
        <v>499</v>
      </c>
      <c r="E119" s="304">
        <v>119</v>
      </c>
      <c r="F119" s="305">
        <v>213</v>
      </c>
      <c r="G119" s="306"/>
      <c r="H119" s="306"/>
      <c r="I119" s="306">
        <v>137.97739999999999</v>
      </c>
      <c r="J119" s="306">
        <v>137.97739999999999</v>
      </c>
      <c r="K119" s="306"/>
      <c r="L119" s="306"/>
      <c r="M119" s="302">
        <f t="shared" si="37"/>
        <v>0</v>
      </c>
      <c r="N119" s="306"/>
      <c r="O119" s="306"/>
      <c r="P119" s="306"/>
      <c r="Q119" s="306"/>
      <c r="R119" s="306"/>
    </row>
    <row r="120" spans="1:18" ht="33.75" x14ac:dyDescent="0.2">
      <c r="A120" s="266" t="s">
        <v>501</v>
      </c>
      <c r="B120" s="298">
        <v>4</v>
      </c>
      <c r="C120" s="299">
        <v>1</v>
      </c>
      <c r="D120" s="257" t="s">
        <v>502</v>
      </c>
      <c r="E120" s="304"/>
      <c r="F120" s="305"/>
      <c r="G120" s="306">
        <f>G121</f>
        <v>0</v>
      </c>
      <c r="H120" s="306">
        <f>H121</f>
        <v>1255.6300000000001</v>
      </c>
      <c r="I120" s="306">
        <f t="shared" ref="I120:J121" si="49">I121</f>
        <v>1255.63123</v>
      </c>
      <c r="J120" s="306">
        <f t="shared" si="49"/>
        <v>1255.63123</v>
      </c>
      <c r="K120" s="306">
        <f t="shared" si="35"/>
        <v>1.2299999998504063E-3</v>
      </c>
      <c r="L120" s="306">
        <f t="shared" si="36"/>
        <v>100.00009795879359</v>
      </c>
      <c r="M120" s="306">
        <f t="shared" si="37"/>
        <v>0</v>
      </c>
      <c r="N120" s="306">
        <f t="shared" si="38"/>
        <v>100</v>
      </c>
      <c r="O120" s="306">
        <v>0</v>
      </c>
      <c r="P120" s="306">
        <f t="shared" si="39"/>
        <v>100.00009795879359</v>
      </c>
      <c r="Q120" s="306">
        <f t="shared" si="40"/>
        <v>1255.6300000000001</v>
      </c>
      <c r="R120" s="306">
        <v>100</v>
      </c>
    </row>
    <row r="121" spans="1:18" ht="42.75" customHeight="1" x14ac:dyDescent="0.2">
      <c r="A121" s="248" t="s">
        <v>434</v>
      </c>
      <c r="B121" s="298">
        <v>4</v>
      </c>
      <c r="C121" s="299">
        <v>1</v>
      </c>
      <c r="D121" s="257" t="s">
        <v>502</v>
      </c>
      <c r="E121" s="238">
        <v>100</v>
      </c>
      <c r="F121" s="239"/>
      <c r="G121" s="240">
        <f>G122</f>
        <v>0</v>
      </c>
      <c r="H121" s="240">
        <f>H122</f>
        <v>1255.6300000000001</v>
      </c>
      <c r="I121" s="240">
        <f t="shared" si="49"/>
        <v>1255.63123</v>
      </c>
      <c r="J121" s="240">
        <f t="shared" si="49"/>
        <v>1255.63123</v>
      </c>
      <c r="K121" s="240">
        <f t="shared" si="35"/>
        <v>1.2299999998504063E-3</v>
      </c>
      <c r="L121" s="240">
        <f t="shared" si="36"/>
        <v>100.00009795879359</v>
      </c>
      <c r="M121" s="240">
        <f t="shared" si="37"/>
        <v>0</v>
      </c>
      <c r="N121" s="240">
        <f t="shared" si="38"/>
        <v>100</v>
      </c>
      <c r="O121" s="240">
        <v>0</v>
      </c>
      <c r="P121" s="240">
        <f t="shared" si="39"/>
        <v>100.00009795879359</v>
      </c>
      <c r="Q121" s="240">
        <f t="shared" si="40"/>
        <v>1255.6300000000001</v>
      </c>
      <c r="R121" s="240">
        <v>100</v>
      </c>
    </row>
    <row r="122" spans="1:18" ht="24" customHeight="1" x14ac:dyDescent="0.2">
      <c r="A122" s="234" t="s">
        <v>500</v>
      </c>
      <c r="B122" s="298">
        <v>4</v>
      </c>
      <c r="C122" s="299">
        <v>1</v>
      </c>
      <c r="D122" s="257" t="s">
        <v>502</v>
      </c>
      <c r="E122" s="300">
        <v>110</v>
      </c>
      <c r="F122" s="301"/>
      <c r="G122" s="302"/>
      <c r="H122" s="302">
        <v>1255.6300000000001</v>
      </c>
      <c r="I122" s="302">
        <f>I123+I124</f>
        <v>1255.63123</v>
      </c>
      <c r="J122" s="302">
        <f>J123+J124</f>
        <v>1255.63123</v>
      </c>
      <c r="K122" s="302">
        <f t="shared" si="35"/>
        <v>1.2299999998504063E-3</v>
      </c>
      <c r="L122" s="302">
        <f t="shared" si="36"/>
        <v>100.00009795879359</v>
      </c>
      <c r="M122" s="302">
        <f t="shared" si="37"/>
        <v>0</v>
      </c>
      <c r="N122" s="302">
        <f t="shared" si="38"/>
        <v>100</v>
      </c>
      <c r="O122" s="302">
        <v>0</v>
      </c>
      <c r="P122" s="302">
        <f t="shared" si="39"/>
        <v>100.00009795879359</v>
      </c>
      <c r="Q122" s="302">
        <f t="shared" si="40"/>
        <v>1255.6300000000001</v>
      </c>
      <c r="R122" s="302">
        <v>100</v>
      </c>
    </row>
    <row r="123" spans="1:18" ht="15" customHeight="1" x14ac:dyDescent="0.2">
      <c r="A123" s="266"/>
      <c r="B123" s="298">
        <v>4</v>
      </c>
      <c r="C123" s="299">
        <v>1</v>
      </c>
      <c r="D123" s="257" t="s">
        <v>502</v>
      </c>
      <c r="E123" s="304">
        <v>111</v>
      </c>
      <c r="F123" s="305">
        <v>211</v>
      </c>
      <c r="G123" s="306"/>
      <c r="H123" s="306"/>
      <c r="I123" s="306">
        <v>944.77089000000001</v>
      </c>
      <c r="J123" s="306">
        <v>944.77089000000001</v>
      </c>
      <c r="K123" s="306"/>
      <c r="L123" s="306"/>
      <c r="M123" s="302">
        <f t="shared" si="37"/>
        <v>0</v>
      </c>
      <c r="N123" s="306"/>
      <c r="O123" s="306"/>
      <c r="P123" s="306"/>
      <c r="Q123" s="306"/>
      <c r="R123" s="306"/>
    </row>
    <row r="124" spans="1:18" ht="13.5" customHeight="1" x14ac:dyDescent="0.2">
      <c r="A124" s="266"/>
      <c r="B124" s="298">
        <v>4</v>
      </c>
      <c r="C124" s="299">
        <v>1</v>
      </c>
      <c r="D124" s="257" t="s">
        <v>502</v>
      </c>
      <c r="E124" s="304">
        <v>119</v>
      </c>
      <c r="F124" s="305">
        <v>213</v>
      </c>
      <c r="G124" s="306"/>
      <c r="H124" s="306"/>
      <c r="I124" s="306">
        <v>310.86034000000001</v>
      </c>
      <c r="J124" s="306">
        <v>310.86034000000001</v>
      </c>
      <c r="K124" s="306"/>
      <c r="L124" s="306"/>
      <c r="M124" s="302">
        <f t="shared" si="37"/>
        <v>0</v>
      </c>
      <c r="N124" s="306"/>
      <c r="O124" s="306"/>
      <c r="P124" s="306"/>
      <c r="Q124" s="306"/>
      <c r="R124" s="306"/>
    </row>
    <row r="125" spans="1:18" ht="16.5" customHeight="1" x14ac:dyDescent="0.2">
      <c r="A125" s="227" t="s">
        <v>276</v>
      </c>
      <c r="B125" s="228">
        <v>4</v>
      </c>
      <c r="C125" s="229">
        <v>8</v>
      </c>
      <c r="D125" s="230"/>
      <c r="E125" s="231"/>
      <c r="F125" s="232"/>
      <c r="G125" s="233">
        <f>G126</f>
        <v>490</v>
      </c>
      <c r="H125" s="233">
        <f>H126</f>
        <v>235.4</v>
      </c>
      <c r="I125" s="233">
        <f t="shared" ref="I125:J125" si="50">I126</f>
        <v>235.4</v>
      </c>
      <c r="J125" s="233">
        <f t="shared" si="50"/>
        <v>235.4</v>
      </c>
      <c r="K125" s="233">
        <f t="shared" si="35"/>
        <v>0</v>
      </c>
      <c r="L125" s="233">
        <f t="shared" si="36"/>
        <v>100</v>
      </c>
      <c r="M125" s="233">
        <f t="shared" si="37"/>
        <v>0</v>
      </c>
      <c r="N125" s="233">
        <f t="shared" si="38"/>
        <v>100</v>
      </c>
      <c r="O125" s="233">
        <f t="shared" si="42"/>
        <v>48.04081632653061</v>
      </c>
      <c r="P125" s="233">
        <f t="shared" si="39"/>
        <v>100</v>
      </c>
      <c r="Q125" s="233">
        <f t="shared" si="40"/>
        <v>-254.6</v>
      </c>
      <c r="R125" s="233">
        <f t="shared" si="43"/>
        <v>48.04081632653061</v>
      </c>
    </row>
    <row r="126" spans="1:18" ht="17.25" customHeight="1" x14ac:dyDescent="0.2">
      <c r="A126" s="307" t="s">
        <v>428</v>
      </c>
      <c r="B126" s="292" t="s">
        <v>248</v>
      </c>
      <c r="C126" s="292" t="s">
        <v>249</v>
      </c>
      <c r="D126" s="292" t="s">
        <v>429</v>
      </c>
      <c r="E126" s="238"/>
      <c r="F126" s="239"/>
      <c r="G126" s="240">
        <f>G128</f>
        <v>490</v>
      </c>
      <c r="H126" s="240">
        <f>H128</f>
        <v>235.4</v>
      </c>
      <c r="I126" s="240">
        <f t="shared" ref="I126:J126" si="51">I128</f>
        <v>235.4</v>
      </c>
      <c r="J126" s="240">
        <f t="shared" si="51"/>
        <v>235.4</v>
      </c>
      <c r="K126" s="240">
        <f t="shared" si="35"/>
        <v>0</v>
      </c>
      <c r="L126" s="240">
        <f t="shared" si="36"/>
        <v>100</v>
      </c>
      <c r="M126" s="240">
        <f t="shared" si="37"/>
        <v>0</v>
      </c>
      <c r="N126" s="240">
        <f t="shared" si="38"/>
        <v>100</v>
      </c>
      <c r="O126" s="240">
        <f t="shared" si="42"/>
        <v>48.04081632653061</v>
      </c>
      <c r="P126" s="240">
        <f t="shared" si="39"/>
        <v>100</v>
      </c>
      <c r="Q126" s="240">
        <f t="shared" si="40"/>
        <v>-254.6</v>
      </c>
      <c r="R126" s="240">
        <f t="shared" si="43"/>
        <v>48.04081632653061</v>
      </c>
    </row>
    <row r="127" spans="1:18" ht="14.25" customHeight="1" x14ac:dyDescent="0.2">
      <c r="A127" s="307" t="s">
        <v>503</v>
      </c>
      <c r="B127" s="292" t="s">
        <v>248</v>
      </c>
      <c r="C127" s="292" t="s">
        <v>249</v>
      </c>
      <c r="D127" s="292" t="s">
        <v>504</v>
      </c>
      <c r="E127" s="238"/>
      <c r="F127" s="239"/>
      <c r="G127" s="240">
        <f t="shared" ref="G127:J129" si="52">G128</f>
        <v>490</v>
      </c>
      <c r="H127" s="240">
        <f t="shared" si="52"/>
        <v>235.4</v>
      </c>
      <c r="I127" s="240">
        <f t="shared" si="52"/>
        <v>235.4</v>
      </c>
      <c r="J127" s="240">
        <f t="shared" si="52"/>
        <v>235.4</v>
      </c>
      <c r="K127" s="240">
        <f t="shared" si="35"/>
        <v>0</v>
      </c>
      <c r="L127" s="240">
        <f t="shared" si="36"/>
        <v>100</v>
      </c>
      <c r="M127" s="240">
        <f t="shared" si="37"/>
        <v>0</v>
      </c>
      <c r="N127" s="240">
        <f t="shared" si="38"/>
        <v>100</v>
      </c>
      <c r="O127" s="240">
        <f t="shared" si="42"/>
        <v>48.04081632653061</v>
      </c>
      <c r="P127" s="240">
        <f t="shared" si="39"/>
        <v>100</v>
      </c>
      <c r="Q127" s="240">
        <f t="shared" si="40"/>
        <v>-254.6</v>
      </c>
      <c r="R127" s="240">
        <f t="shared" si="43"/>
        <v>48.04081632653061</v>
      </c>
    </row>
    <row r="128" spans="1:18" x14ac:dyDescent="0.2">
      <c r="A128" s="307" t="s">
        <v>505</v>
      </c>
      <c r="B128" s="292" t="s">
        <v>248</v>
      </c>
      <c r="C128" s="292" t="s">
        <v>249</v>
      </c>
      <c r="D128" s="292" t="s">
        <v>506</v>
      </c>
      <c r="E128" s="238"/>
      <c r="F128" s="239"/>
      <c r="G128" s="240">
        <f t="shared" si="52"/>
        <v>490</v>
      </c>
      <c r="H128" s="240">
        <f t="shared" si="52"/>
        <v>235.4</v>
      </c>
      <c r="I128" s="240">
        <f t="shared" si="52"/>
        <v>235.4</v>
      </c>
      <c r="J128" s="240">
        <f t="shared" si="52"/>
        <v>235.4</v>
      </c>
      <c r="K128" s="240">
        <f t="shared" si="35"/>
        <v>0</v>
      </c>
      <c r="L128" s="240">
        <f t="shared" si="36"/>
        <v>100</v>
      </c>
      <c r="M128" s="240">
        <f t="shared" si="37"/>
        <v>0</v>
      </c>
      <c r="N128" s="240">
        <f t="shared" si="38"/>
        <v>100</v>
      </c>
      <c r="O128" s="240">
        <f t="shared" si="42"/>
        <v>48.04081632653061</v>
      </c>
      <c r="P128" s="240">
        <f t="shared" si="39"/>
        <v>100</v>
      </c>
      <c r="Q128" s="240">
        <f t="shared" si="40"/>
        <v>-254.6</v>
      </c>
      <c r="R128" s="240">
        <f t="shared" si="43"/>
        <v>48.04081632653061</v>
      </c>
    </row>
    <row r="129" spans="1:18" x14ac:dyDescent="0.2">
      <c r="A129" s="234" t="s">
        <v>448</v>
      </c>
      <c r="B129" s="292" t="s">
        <v>248</v>
      </c>
      <c r="C129" s="292" t="s">
        <v>249</v>
      </c>
      <c r="D129" s="292" t="s">
        <v>506</v>
      </c>
      <c r="E129" s="238">
        <v>800</v>
      </c>
      <c r="F129" s="239"/>
      <c r="G129" s="240">
        <f t="shared" si="52"/>
        <v>490</v>
      </c>
      <c r="H129" s="240">
        <f t="shared" si="52"/>
        <v>235.4</v>
      </c>
      <c r="I129" s="240">
        <f t="shared" si="52"/>
        <v>235.4</v>
      </c>
      <c r="J129" s="240">
        <f t="shared" si="52"/>
        <v>235.4</v>
      </c>
      <c r="K129" s="240">
        <f t="shared" si="35"/>
        <v>0</v>
      </c>
      <c r="L129" s="240">
        <f t="shared" si="36"/>
        <v>100</v>
      </c>
      <c r="M129" s="240">
        <f t="shared" si="37"/>
        <v>0</v>
      </c>
      <c r="N129" s="240">
        <f t="shared" si="38"/>
        <v>100</v>
      </c>
      <c r="O129" s="240">
        <f t="shared" si="42"/>
        <v>48.04081632653061</v>
      </c>
      <c r="P129" s="240">
        <f t="shared" si="39"/>
        <v>100</v>
      </c>
      <c r="Q129" s="240">
        <f t="shared" si="40"/>
        <v>-254.6</v>
      </c>
      <c r="R129" s="240">
        <f t="shared" si="43"/>
        <v>48.04081632653061</v>
      </c>
    </row>
    <row r="130" spans="1:18" ht="45" x14ac:dyDescent="0.2">
      <c r="A130" s="234" t="s">
        <v>507</v>
      </c>
      <c r="B130" s="292" t="s">
        <v>248</v>
      </c>
      <c r="C130" s="292" t="s">
        <v>249</v>
      </c>
      <c r="D130" s="292" t="s">
        <v>506</v>
      </c>
      <c r="E130" s="238">
        <v>811</v>
      </c>
      <c r="F130" s="239">
        <v>242</v>
      </c>
      <c r="G130" s="240">
        <v>490</v>
      </c>
      <c r="H130" s="240">
        <v>235.4</v>
      </c>
      <c r="I130" s="240">
        <v>235.4</v>
      </c>
      <c r="J130" s="240">
        <v>235.4</v>
      </c>
      <c r="K130" s="240">
        <f t="shared" si="35"/>
        <v>0</v>
      </c>
      <c r="L130" s="240">
        <f t="shared" si="36"/>
        <v>100</v>
      </c>
      <c r="M130" s="240">
        <f t="shared" si="37"/>
        <v>0</v>
      </c>
      <c r="N130" s="240">
        <f t="shared" si="38"/>
        <v>100</v>
      </c>
      <c r="O130" s="240">
        <f t="shared" si="42"/>
        <v>48.04081632653061</v>
      </c>
      <c r="P130" s="240">
        <f t="shared" si="39"/>
        <v>100</v>
      </c>
      <c r="Q130" s="240">
        <f t="shared" si="40"/>
        <v>-254.6</v>
      </c>
      <c r="R130" s="240">
        <f t="shared" si="43"/>
        <v>48.04081632653061</v>
      </c>
    </row>
    <row r="131" spans="1:18" x14ac:dyDescent="0.2">
      <c r="A131" s="308" t="s">
        <v>274</v>
      </c>
      <c r="B131" s="309" t="s">
        <v>248</v>
      </c>
      <c r="C131" s="309" t="s">
        <v>273</v>
      </c>
      <c r="D131" s="309"/>
      <c r="E131" s="252"/>
      <c r="F131" s="253"/>
      <c r="G131" s="254">
        <f>G132+G141</f>
        <v>3159.8</v>
      </c>
      <c r="H131" s="254">
        <f>H132+H141</f>
        <v>3469.66</v>
      </c>
      <c r="I131" s="254">
        <f t="shared" ref="I131:J131" si="53">I132+I141</f>
        <v>3469.6567500000001</v>
      </c>
      <c r="J131" s="254">
        <f t="shared" si="53"/>
        <v>2968.2685499999998</v>
      </c>
      <c r="K131" s="254">
        <f t="shared" si="35"/>
        <v>-3.2499999997526174E-3</v>
      </c>
      <c r="L131" s="254">
        <f t="shared" si="36"/>
        <v>99.999906330879696</v>
      </c>
      <c r="M131" s="254">
        <f t="shared" si="37"/>
        <v>501.38820000000032</v>
      </c>
      <c r="N131" s="254">
        <f t="shared" si="38"/>
        <v>85.549342885286833</v>
      </c>
      <c r="O131" s="254">
        <f t="shared" si="42"/>
        <v>93.938494524969911</v>
      </c>
      <c r="P131" s="254">
        <f t="shared" si="39"/>
        <v>85.549262751969934</v>
      </c>
      <c r="Q131" s="254">
        <f t="shared" si="40"/>
        <v>309.85999999999967</v>
      </c>
      <c r="R131" s="254">
        <f t="shared" si="43"/>
        <v>109.80631685549717</v>
      </c>
    </row>
    <row r="132" spans="1:18" ht="34.5" customHeight="1" x14ac:dyDescent="0.2">
      <c r="A132" s="310" t="s">
        <v>508</v>
      </c>
      <c r="B132" s="292" t="s">
        <v>248</v>
      </c>
      <c r="C132" s="292" t="s">
        <v>273</v>
      </c>
      <c r="D132" s="292" t="s">
        <v>509</v>
      </c>
      <c r="E132" s="238"/>
      <c r="F132" s="239"/>
      <c r="G132" s="240">
        <f>G133</f>
        <v>737.8</v>
      </c>
      <c r="H132" s="240">
        <f>H133</f>
        <v>1100</v>
      </c>
      <c r="I132" s="240">
        <f t="shared" ref="I132:J132" si="54">I133</f>
        <v>1100</v>
      </c>
      <c r="J132" s="240">
        <f t="shared" si="54"/>
        <v>1100</v>
      </c>
      <c r="K132" s="240">
        <f t="shared" si="35"/>
        <v>0</v>
      </c>
      <c r="L132" s="240">
        <f t="shared" si="36"/>
        <v>100</v>
      </c>
      <c r="M132" s="240">
        <f t="shared" si="37"/>
        <v>0</v>
      </c>
      <c r="N132" s="240">
        <f t="shared" si="38"/>
        <v>100</v>
      </c>
      <c r="O132" s="240">
        <f t="shared" si="42"/>
        <v>149.09189482244511</v>
      </c>
      <c r="P132" s="240">
        <f t="shared" si="39"/>
        <v>100</v>
      </c>
      <c r="Q132" s="240">
        <f t="shared" si="40"/>
        <v>362.20000000000005</v>
      </c>
      <c r="R132" s="240">
        <f t="shared" si="43"/>
        <v>149.09189482244511</v>
      </c>
    </row>
    <row r="133" spans="1:18" x14ac:dyDescent="0.2">
      <c r="A133" s="307" t="s">
        <v>510</v>
      </c>
      <c r="B133" s="292" t="s">
        <v>248</v>
      </c>
      <c r="C133" s="292" t="s">
        <v>273</v>
      </c>
      <c r="D133" s="292" t="s">
        <v>511</v>
      </c>
      <c r="E133" s="238"/>
      <c r="F133" s="239"/>
      <c r="G133" s="240">
        <f>G134+G138</f>
        <v>737.8</v>
      </c>
      <c r="H133" s="240">
        <f>H134+H138</f>
        <v>1100</v>
      </c>
      <c r="I133" s="240">
        <f t="shared" ref="I133:J133" si="55">I134+I138</f>
        <v>1100</v>
      </c>
      <c r="J133" s="240">
        <f t="shared" si="55"/>
        <v>1100</v>
      </c>
      <c r="K133" s="240">
        <f t="shared" si="35"/>
        <v>0</v>
      </c>
      <c r="L133" s="240">
        <f t="shared" si="36"/>
        <v>100</v>
      </c>
      <c r="M133" s="240">
        <f t="shared" si="37"/>
        <v>0</v>
      </c>
      <c r="N133" s="240">
        <f t="shared" si="38"/>
        <v>100</v>
      </c>
      <c r="O133" s="240">
        <f t="shared" si="42"/>
        <v>149.09189482244511</v>
      </c>
      <c r="P133" s="240">
        <f t="shared" si="39"/>
        <v>100</v>
      </c>
      <c r="Q133" s="240">
        <f t="shared" si="40"/>
        <v>362.20000000000005</v>
      </c>
      <c r="R133" s="240">
        <f t="shared" si="43"/>
        <v>149.09189482244511</v>
      </c>
    </row>
    <row r="134" spans="1:18" ht="22.5" x14ac:dyDescent="0.2">
      <c r="A134" s="307" t="s">
        <v>512</v>
      </c>
      <c r="B134" s="292" t="s">
        <v>248</v>
      </c>
      <c r="C134" s="292" t="s">
        <v>273</v>
      </c>
      <c r="D134" s="292" t="s">
        <v>513</v>
      </c>
      <c r="E134" s="238"/>
      <c r="F134" s="239"/>
      <c r="G134" s="240">
        <f t="shared" ref="G134:J136" si="56">G135</f>
        <v>737.8</v>
      </c>
      <c r="H134" s="240">
        <f t="shared" si="56"/>
        <v>737.8</v>
      </c>
      <c r="I134" s="240">
        <f t="shared" si="56"/>
        <v>737.8</v>
      </c>
      <c r="J134" s="240">
        <f t="shared" si="56"/>
        <v>737.8</v>
      </c>
      <c r="K134" s="240">
        <f t="shared" si="35"/>
        <v>0</v>
      </c>
      <c r="L134" s="240">
        <f t="shared" si="36"/>
        <v>100</v>
      </c>
      <c r="M134" s="240">
        <f t="shared" si="37"/>
        <v>0</v>
      </c>
      <c r="N134" s="240">
        <f t="shared" si="38"/>
        <v>100</v>
      </c>
      <c r="O134" s="240">
        <f t="shared" si="42"/>
        <v>100</v>
      </c>
      <c r="P134" s="240">
        <f t="shared" si="39"/>
        <v>100</v>
      </c>
      <c r="Q134" s="240">
        <f t="shared" si="40"/>
        <v>0</v>
      </c>
      <c r="R134" s="240">
        <f t="shared" si="43"/>
        <v>100</v>
      </c>
    </row>
    <row r="135" spans="1:18" ht="33.75" x14ac:dyDescent="0.2">
      <c r="A135" s="311" t="s">
        <v>514</v>
      </c>
      <c r="B135" s="292" t="s">
        <v>248</v>
      </c>
      <c r="C135" s="292" t="s">
        <v>273</v>
      </c>
      <c r="D135" s="292" t="s">
        <v>515</v>
      </c>
      <c r="E135" s="238"/>
      <c r="F135" s="239"/>
      <c r="G135" s="240">
        <f t="shared" si="56"/>
        <v>737.8</v>
      </c>
      <c r="H135" s="240">
        <f t="shared" si="56"/>
        <v>737.8</v>
      </c>
      <c r="I135" s="240">
        <f t="shared" si="56"/>
        <v>737.8</v>
      </c>
      <c r="J135" s="240">
        <f t="shared" si="56"/>
        <v>737.8</v>
      </c>
      <c r="K135" s="240">
        <f t="shared" si="35"/>
        <v>0</v>
      </c>
      <c r="L135" s="240">
        <f t="shared" si="36"/>
        <v>100</v>
      </c>
      <c r="M135" s="240">
        <f t="shared" si="37"/>
        <v>0</v>
      </c>
      <c r="N135" s="240">
        <f t="shared" si="38"/>
        <v>100</v>
      </c>
      <c r="O135" s="240">
        <f t="shared" si="42"/>
        <v>100</v>
      </c>
      <c r="P135" s="240">
        <f t="shared" si="39"/>
        <v>100</v>
      </c>
      <c r="Q135" s="240">
        <f t="shared" si="40"/>
        <v>0</v>
      </c>
      <c r="R135" s="240">
        <f t="shared" si="43"/>
        <v>100</v>
      </c>
    </row>
    <row r="136" spans="1:18" ht="22.5" x14ac:dyDescent="0.2">
      <c r="A136" s="234" t="s">
        <v>442</v>
      </c>
      <c r="B136" s="292" t="s">
        <v>248</v>
      </c>
      <c r="C136" s="292" t="s">
        <v>273</v>
      </c>
      <c r="D136" s="292" t="s">
        <v>515</v>
      </c>
      <c r="E136" s="238">
        <v>200</v>
      </c>
      <c r="F136" s="239"/>
      <c r="G136" s="240">
        <f t="shared" si="56"/>
        <v>737.8</v>
      </c>
      <c r="H136" s="240">
        <f t="shared" si="56"/>
        <v>737.8</v>
      </c>
      <c r="I136" s="240">
        <f t="shared" si="56"/>
        <v>737.8</v>
      </c>
      <c r="J136" s="240">
        <f t="shared" si="56"/>
        <v>737.8</v>
      </c>
      <c r="K136" s="240">
        <f t="shared" si="35"/>
        <v>0</v>
      </c>
      <c r="L136" s="240">
        <f t="shared" si="36"/>
        <v>100</v>
      </c>
      <c r="M136" s="240">
        <f t="shared" si="37"/>
        <v>0</v>
      </c>
      <c r="N136" s="240">
        <f t="shared" si="38"/>
        <v>100</v>
      </c>
      <c r="O136" s="240">
        <f t="shared" si="42"/>
        <v>100</v>
      </c>
      <c r="P136" s="240">
        <f t="shared" si="39"/>
        <v>100</v>
      </c>
      <c r="Q136" s="240">
        <f t="shared" si="40"/>
        <v>0</v>
      </c>
      <c r="R136" s="240">
        <f t="shared" si="43"/>
        <v>100</v>
      </c>
    </row>
    <row r="137" spans="1:18" ht="33.75" x14ac:dyDescent="0.2">
      <c r="A137" s="234" t="s">
        <v>443</v>
      </c>
      <c r="B137" s="292" t="s">
        <v>248</v>
      </c>
      <c r="C137" s="292" t="s">
        <v>273</v>
      </c>
      <c r="D137" s="292" t="s">
        <v>515</v>
      </c>
      <c r="E137" s="238">
        <v>244</v>
      </c>
      <c r="F137" s="239">
        <v>225</v>
      </c>
      <c r="G137" s="240">
        <v>737.8</v>
      </c>
      <c r="H137" s="240">
        <v>737.8</v>
      </c>
      <c r="I137" s="240">
        <v>737.8</v>
      </c>
      <c r="J137" s="240">
        <v>737.8</v>
      </c>
      <c r="K137" s="240">
        <f t="shared" si="35"/>
        <v>0</v>
      </c>
      <c r="L137" s="240">
        <f t="shared" si="36"/>
        <v>100</v>
      </c>
      <c r="M137" s="240">
        <f t="shared" si="37"/>
        <v>0</v>
      </c>
      <c r="N137" s="240">
        <f t="shared" si="38"/>
        <v>100</v>
      </c>
      <c r="O137" s="240">
        <f t="shared" si="42"/>
        <v>100</v>
      </c>
      <c r="P137" s="240">
        <f t="shared" si="39"/>
        <v>100</v>
      </c>
      <c r="Q137" s="240">
        <f t="shared" si="40"/>
        <v>0</v>
      </c>
      <c r="R137" s="240">
        <f t="shared" si="43"/>
        <v>100</v>
      </c>
    </row>
    <row r="138" spans="1:18" ht="45" x14ac:dyDescent="0.2">
      <c r="A138" s="273" t="s">
        <v>516</v>
      </c>
      <c r="B138" s="292" t="s">
        <v>248</v>
      </c>
      <c r="C138" s="292" t="s">
        <v>273</v>
      </c>
      <c r="D138" s="292" t="s">
        <v>517</v>
      </c>
      <c r="E138" s="238"/>
      <c r="F138" s="239"/>
      <c r="G138" s="240">
        <f>G139</f>
        <v>0</v>
      </c>
      <c r="H138" s="240">
        <f>H139</f>
        <v>362.2</v>
      </c>
      <c r="I138" s="240">
        <f t="shared" ref="I138:J139" si="57">I139</f>
        <v>362.2</v>
      </c>
      <c r="J138" s="240">
        <f t="shared" si="57"/>
        <v>362.2</v>
      </c>
      <c r="K138" s="240">
        <f t="shared" si="35"/>
        <v>0</v>
      </c>
      <c r="L138" s="240">
        <f t="shared" si="36"/>
        <v>100</v>
      </c>
      <c r="M138" s="240">
        <f t="shared" si="37"/>
        <v>0</v>
      </c>
      <c r="N138" s="240">
        <f t="shared" si="38"/>
        <v>100</v>
      </c>
      <c r="O138" s="240">
        <v>0</v>
      </c>
      <c r="P138" s="240">
        <f t="shared" si="39"/>
        <v>100</v>
      </c>
      <c r="Q138" s="240">
        <f t="shared" si="40"/>
        <v>362.2</v>
      </c>
      <c r="R138" s="240">
        <v>100</v>
      </c>
    </row>
    <row r="139" spans="1:18" ht="22.5" x14ac:dyDescent="0.2">
      <c r="A139" s="234" t="s">
        <v>442</v>
      </c>
      <c r="B139" s="292" t="s">
        <v>248</v>
      </c>
      <c r="C139" s="292" t="s">
        <v>273</v>
      </c>
      <c r="D139" s="292" t="s">
        <v>517</v>
      </c>
      <c r="E139" s="238">
        <v>200</v>
      </c>
      <c r="F139" s="239"/>
      <c r="G139" s="240">
        <f>G140</f>
        <v>0</v>
      </c>
      <c r="H139" s="240">
        <f>H140</f>
        <v>362.2</v>
      </c>
      <c r="I139" s="240">
        <f t="shared" si="57"/>
        <v>362.2</v>
      </c>
      <c r="J139" s="240">
        <f t="shared" si="57"/>
        <v>362.2</v>
      </c>
      <c r="K139" s="240">
        <f t="shared" si="35"/>
        <v>0</v>
      </c>
      <c r="L139" s="240">
        <f t="shared" si="36"/>
        <v>100</v>
      </c>
      <c r="M139" s="240">
        <f t="shared" si="37"/>
        <v>0</v>
      </c>
      <c r="N139" s="240">
        <f t="shared" si="38"/>
        <v>100</v>
      </c>
      <c r="O139" s="240">
        <v>0</v>
      </c>
      <c r="P139" s="240">
        <f t="shared" si="39"/>
        <v>100</v>
      </c>
      <c r="Q139" s="240">
        <f t="shared" si="40"/>
        <v>362.2</v>
      </c>
      <c r="R139" s="240">
        <v>100</v>
      </c>
    </row>
    <row r="140" spans="1:18" ht="33.75" x14ac:dyDescent="0.2">
      <c r="A140" s="234" t="s">
        <v>443</v>
      </c>
      <c r="B140" s="292" t="s">
        <v>248</v>
      </c>
      <c r="C140" s="292" t="s">
        <v>273</v>
      </c>
      <c r="D140" s="292" t="s">
        <v>517</v>
      </c>
      <c r="E140" s="238">
        <v>244</v>
      </c>
      <c r="F140" s="239">
        <v>225</v>
      </c>
      <c r="G140" s="240"/>
      <c r="H140" s="240">
        <v>362.2</v>
      </c>
      <c r="I140" s="240">
        <v>362.2</v>
      </c>
      <c r="J140" s="240">
        <v>362.2</v>
      </c>
      <c r="K140" s="240">
        <f t="shared" si="35"/>
        <v>0</v>
      </c>
      <c r="L140" s="240">
        <f t="shared" si="36"/>
        <v>100</v>
      </c>
      <c r="M140" s="240">
        <f t="shared" si="37"/>
        <v>0</v>
      </c>
      <c r="N140" s="240">
        <f t="shared" si="38"/>
        <v>100</v>
      </c>
      <c r="O140" s="240">
        <v>0</v>
      </c>
      <c r="P140" s="240">
        <f t="shared" si="39"/>
        <v>100</v>
      </c>
      <c r="Q140" s="240">
        <f t="shared" si="40"/>
        <v>362.2</v>
      </c>
      <c r="R140" s="240">
        <v>100</v>
      </c>
    </row>
    <row r="141" spans="1:18" x14ac:dyDescent="0.2">
      <c r="A141" s="311" t="s">
        <v>428</v>
      </c>
      <c r="B141" s="292" t="s">
        <v>248</v>
      </c>
      <c r="C141" s="292" t="s">
        <v>273</v>
      </c>
      <c r="D141" s="238" t="s">
        <v>429</v>
      </c>
      <c r="E141" s="238"/>
      <c r="F141" s="239"/>
      <c r="G141" s="240">
        <f t="shared" ref="G141:J144" si="58">G142</f>
        <v>2422</v>
      </c>
      <c r="H141" s="240">
        <f t="shared" si="58"/>
        <v>2369.66</v>
      </c>
      <c r="I141" s="240">
        <f t="shared" si="58"/>
        <v>2369.6567500000001</v>
      </c>
      <c r="J141" s="240">
        <f t="shared" si="58"/>
        <v>1868.2685499999998</v>
      </c>
      <c r="K141" s="240">
        <f t="shared" si="35"/>
        <v>-3.2499999997526174E-3</v>
      </c>
      <c r="L141" s="240">
        <f t="shared" si="36"/>
        <v>99.999862849522728</v>
      </c>
      <c r="M141" s="240">
        <f t="shared" si="37"/>
        <v>501.38820000000032</v>
      </c>
      <c r="N141" s="240">
        <f t="shared" si="38"/>
        <v>78.8413153086412</v>
      </c>
      <c r="O141" s="240">
        <f t="shared" si="42"/>
        <v>77.137429810074309</v>
      </c>
      <c r="P141" s="240">
        <f t="shared" si="39"/>
        <v>78.841207177400975</v>
      </c>
      <c r="Q141" s="240">
        <f t="shared" si="40"/>
        <v>-52.340000000000146</v>
      </c>
      <c r="R141" s="240">
        <f t="shared" si="43"/>
        <v>97.838976052848878</v>
      </c>
    </row>
    <row r="142" spans="1:18" x14ac:dyDescent="0.2">
      <c r="A142" s="234" t="s">
        <v>518</v>
      </c>
      <c r="B142" s="274">
        <v>4</v>
      </c>
      <c r="C142" s="275">
        <v>9</v>
      </c>
      <c r="D142" s="292" t="s">
        <v>504</v>
      </c>
      <c r="E142" s="312"/>
      <c r="F142" s="313"/>
      <c r="G142" s="240">
        <f t="shared" si="58"/>
        <v>2422</v>
      </c>
      <c r="H142" s="240">
        <f t="shared" si="58"/>
        <v>2369.66</v>
      </c>
      <c r="I142" s="240">
        <f t="shared" si="58"/>
        <v>2369.6567500000001</v>
      </c>
      <c r="J142" s="240">
        <f t="shared" si="58"/>
        <v>1868.2685499999998</v>
      </c>
      <c r="K142" s="240">
        <f t="shared" si="35"/>
        <v>-3.2499999997526174E-3</v>
      </c>
      <c r="L142" s="240">
        <f t="shared" si="36"/>
        <v>99.999862849522728</v>
      </c>
      <c r="M142" s="240">
        <f t="shared" si="37"/>
        <v>501.38820000000032</v>
      </c>
      <c r="N142" s="240">
        <f t="shared" si="38"/>
        <v>78.8413153086412</v>
      </c>
      <c r="O142" s="240">
        <f t="shared" si="42"/>
        <v>77.137429810074309</v>
      </c>
      <c r="P142" s="240">
        <f t="shared" si="39"/>
        <v>78.841207177400975</v>
      </c>
      <c r="Q142" s="240">
        <f t="shared" si="40"/>
        <v>-52.340000000000146</v>
      </c>
      <c r="R142" s="240">
        <f t="shared" si="43"/>
        <v>97.838976052848878</v>
      </c>
    </row>
    <row r="143" spans="1:18" x14ac:dyDescent="0.2">
      <c r="A143" s="234" t="s">
        <v>519</v>
      </c>
      <c r="B143" s="274">
        <v>4</v>
      </c>
      <c r="C143" s="275">
        <v>9</v>
      </c>
      <c r="D143" s="238" t="s">
        <v>520</v>
      </c>
      <c r="E143" s="312"/>
      <c r="F143" s="313"/>
      <c r="G143" s="240">
        <f t="shared" si="58"/>
        <v>2422</v>
      </c>
      <c r="H143" s="240">
        <f t="shared" si="58"/>
        <v>2369.66</v>
      </c>
      <c r="I143" s="240">
        <f t="shared" si="58"/>
        <v>2369.6567500000001</v>
      </c>
      <c r="J143" s="240">
        <f t="shared" si="58"/>
        <v>1868.2685499999998</v>
      </c>
      <c r="K143" s="240">
        <f t="shared" si="35"/>
        <v>-3.2499999997526174E-3</v>
      </c>
      <c r="L143" s="240">
        <f t="shared" si="36"/>
        <v>99.999862849522728</v>
      </c>
      <c r="M143" s="240">
        <f t="shared" si="37"/>
        <v>501.38820000000032</v>
      </c>
      <c r="N143" s="240">
        <f t="shared" si="38"/>
        <v>78.8413153086412</v>
      </c>
      <c r="O143" s="240">
        <f t="shared" si="42"/>
        <v>77.137429810074309</v>
      </c>
      <c r="P143" s="240">
        <f t="shared" si="39"/>
        <v>78.841207177400975</v>
      </c>
      <c r="Q143" s="240">
        <f t="shared" si="40"/>
        <v>-52.340000000000146</v>
      </c>
      <c r="R143" s="240">
        <f t="shared" si="43"/>
        <v>97.838976052848878</v>
      </c>
    </row>
    <row r="144" spans="1:18" ht="22.5" x14ac:dyDescent="0.2">
      <c r="A144" s="234" t="s">
        <v>442</v>
      </c>
      <c r="B144" s="274">
        <v>4</v>
      </c>
      <c r="C144" s="275">
        <v>9</v>
      </c>
      <c r="D144" s="238" t="s">
        <v>520</v>
      </c>
      <c r="E144" s="238">
        <v>200</v>
      </c>
      <c r="F144" s="239"/>
      <c r="G144" s="240">
        <f t="shared" si="58"/>
        <v>2422</v>
      </c>
      <c r="H144" s="240">
        <f t="shared" si="58"/>
        <v>2369.66</v>
      </c>
      <c r="I144" s="240">
        <f t="shared" si="58"/>
        <v>2369.6567500000001</v>
      </c>
      <c r="J144" s="240">
        <f t="shared" si="58"/>
        <v>1868.2685499999998</v>
      </c>
      <c r="K144" s="240">
        <f t="shared" si="35"/>
        <v>-3.2499999997526174E-3</v>
      </c>
      <c r="L144" s="240">
        <f t="shared" si="36"/>
        <v>99.999862849522728</v>
      </c>
      <c r="M144" s="240">
        <f t="shared" si="37"/>
        <v>501.38820000000032</v>
      </c>
      <c r="N144" s="240">
        <f t="shared" si="38"/>
        <v>78.8413153086412</v>
      </c>
      <c r="O144" s="240">
        <f t="shared" si="42"/>
        <v>77.137429810074309</v>
      </c>
      <c r="P144" s="240">
        <f t="shared" si="39"/>
        <v>78.841207177400975</v>
      </c>
      <c r="Q144" s="240">
        <f t="shared" si="40"/>
        <v>-52.340000000000146</v>
      </c>
      <c r="R144" s="240">
        <f t="shared" si="43"/>
        <v>97.838976052848878</v>
      </c>
    </row>
    <row r="145" spans="1:18" ht="33.75" x14ac:dyDescent="0.2">
      <c r="A145" s="234" t="s">
        <v>443</v>
      </c>
      <c r="B145" s="274">
        <v>4</v>
      </c>
      <c r="C145" s="275">
        <v>9</v>
      </c>
      <c r="D145" s="238" t="s">
        <v>520</v>
      </c>
      <c r="E145" s="238">
        <v>240</v>
      </c>
      <c r="F145" s="239"/>
      <c r="G145" s="240">
        <v>2422</v>
      </c>
      <c r="H145" s="240">
        <v>2369.66</v>
      </c>
      <c r="I145" s="240">
        <f>I146+I147+I148</f>
        <v>2369.6567500000001</v>
      </c>
      <c r="J145" s="240">
        <f>J146+J147+J148</f>
        <v>1868.2685499999998</v>
      </c>
      <c r="K145" s="240">
        <f t="shared" si="35"/>
        <v>-3.2499999997526174E-3</v>
      </c>
      <c r="L145" s="240">
        <f t="shared" si="36"/>
        <v>99.999862849522728</v>
      </c>
      <c r="M145" s="240">
        <f t="shared" si="37"/>
        <v>501.38820000000032</v>
      </c>
      <c r="N145" s="240">
        <f t="shared" si="38"/>
        <v>78.8413153086412</v>
      </c>
      <c r="O145" s="240">
        <f t="shared" si="42"/>
        <v>77.137429810074309</v>
      </c>
      <c r="P145" s="240">
        <f t="shared" si="39"/>
        <v>78.841207177400975</v>
      </c>
      <c r="Q145" s="240">
        <f t="shared" si="40"/>
        <v>-52.340000000000146</v>
      </c>
      <c r="R145" s="240">
        <f t="shared" si="43"/>
        <v>97.838976052848878</v>
      </c>
    </row>
    <row r="146" spans="1:18" ht="15.75" customHeight="1" x14ac:dyDescent="0.2">
      <c r="A146" s="234"/>
      <c r="B146" s="274">
        <v>4</v>
      </c>
      <c r="C146" s="275">
        <v>9</v>
      </c>
      <c r="D146" s="238" t="s">
        <v>520</v>
      </c>
      <c r="E146" s="238">
        <v>244</v>
      </c>
      <c r="F146" s="239">
        <v>225</v>
      </c>
      <c r="G146" s="240"/>
      <c r="H146" s="240"/>
      <c r="I146" s="240">
        <v>1744.75675</v>
      </c>
      <c r="J146" s="240">
        <v>1243.3685499999999</v>
      </c>
      <c r="K146" s="240"/>
      <c r="L146" s="240"/>
      <c r="M146" s="240">
        <f t="shared" si="37"/>
        <v>501.3882000000001</v>
      </c>
      <c r="N146" s="240"/>
      <c r="O146" s="240"/>
      <c r="P146" s="240"/>
      <c r="Q146" s="240"/>
      <c r="R146" s="240"/>
    </row>
    <row r="147" spans="1:18" ht="15" customHeight="1" x14ac:dyDescent="0.2">
      <c r="A147" s="234"/>
      <c r="B147" s="274">
        <v>4</v>
      </c>
      <c r="C147" s="275">
        <v>9</v>
      </c>
      <c r="D147" s="238" t="s">
        <v>520</v>
      </c>
      <c r="E147" s="238">
        <v>244</v>
      </c>
      <c r="F147" s="239">
        <v>226</v>
      </c>
      <c r="G147" s="240"/>
      <c r="H147" s="240"/>
      <c r="I147" s="240">
        <v>555.04</v>
      </c>
      <c r="J147" s="240">
        <v>555.04</v>
      </c>
      <c r="K147" s="240"/>
      <c r="L147" s="240"/>
      <c r="M147" s="240">
        <f t="shared" si="37"/>
        <v>0</v>
      </c>
      <c r="N147" s="240"/>
      <c r="O147" s="240"/>
      <c r="P147" s="240"/>
      <c r="Q147" s="240"/>
      <c r="R147" s="240"/>
    </row>
    <row r="148" spans="1:18" ht="12" customHeight="1" x14ac:dyDescent="0.2">
      <c r="A148" s="234"/>
      <c r="B148" s="274">
        <v>4</v>
      </c>
      <c r="C148" s="275">
        <v>9</v>
      </c>
      <c r="D148" s="238" t="s">
        <v>520</v>
      </c>
      <c r="E148" s="238">
        <v>244</v>
      </c>
      <c r="F148" s="239">
        <v>340</v>
      </c>
      <c r="G148" s="240"/>
      <c r="H148" s="240"/>
      <c r="I148" s="240">
        <v>69.86</v>
      </c>
      <c r="J148" s="240">
        <v>69.86</v>
      </c>
      <c r="K148" s="240"/>
      <c r="L148" s="240"/>
      <c r="M148" s="240">
        <f t="shared" si="37"/>
        <v>0</v>
      </c>
      <c r="N148" s="240"/>
      <c r="O148" s="240"/>
      <c r="P148" s="240"/>
      <c r="Q148" s="240"/>
      <c r="R148" s="240"/>
    </row>
    <row r="149" spans="1:18" x14ac:dyDescent="0.2">
      <c r="A149" s="249" t="s">
        <v>272</v>
      </c>
      <c r="B149" s="250">
        <v>4</v>
      </c>
      <c r="C149" s="251">
        <v>10</v>
      </c>
      <c r="D149" s="255"/>
      <c r="E149" s="252"/>
      <c r="F149" s="253"/>
      <c r="G149" s="254">
        <f t="shared" ref="G149:J153" si="59">G150</f>
        <v>226</v>
      </c>
      <c r="H149" s="254">
        <f t="shared" si="59"/>
        <v>433.23</v>
      </c>
      <c r="I149" s="254">
        <f t="shared" si="59"/>
        <v>433.22996000000001</v>
      </c>
      <c r="J149" s="254">
        <f t="shared" si="59"/>
        <v>433.22996000000001</v>
      </c>
      <c r="K149" s="254">
        <f t="shared" si="35"/>
        <v>-4.0000000012696546E-5</v>
      </c>
      <c r="L149" s="254">
        <f t="shared" si="36"/>
        <v>99.999990767029061</v>
      </c>
      <c r="M149" s="254">
        <f t="shared" si="37"/>
        <v>0</v>
      </c>
      <c r="N149" s="254">
        <f t="shared" si="38"/>
        <v>100</v>
      </c>
      <c r="O149" s="254">
        <f t="shared" si="42"/>
        <v>191.69467256637171</v>
      </c>
      <c r="P149" s="254">
        <f t="shared" si="39"/>
        <v>99.999990767029061</v>
      </c>
      <c r="Q149" s="254">
        <f t="shared" si="40"/>
        <v>207.23000000000002</v>
      </c>
      <c r="R149" s="254">
        <f t="shared" si="43"/>
        <v>191.69469026548674</v>
      </c>
    </row>
    <row r="150" spans="1:18" x14ac:dyDescent="0.2">
      <c r="A150" s="273" t="s">
        <v>428</v>
      </c>
      <c r="B150" s="274">
        <v>4</v>
      </c>
      <c r="C150" s="275">
        <v>10</v>
      </c>
      <c r="D150" s="237" t="s">
        <v>429</v>
      </c>
      <c r="E150" s="238"/>
      <c r="F150" s="239"/>
      <c r="G150" s="240">
        <f t="shared" si="59"/>
        <v>226</v>
      </c>
      <c r="H150" s="240">
        <f t="shared" si="59"/>
        <v>433.23</v>
      </c>
      <c r="I150" s="240">
        <f t="shared" si="59"/>
        <v>433.22996000000001</v>
      </c>
      <c r="J150" s="240">
        <f t="shared" si="59"/>
        <v>433.22996000000001</v>
      </c>
      <c r="K150" s="240">
        <f t="shared" si="35"/>
        <v>-4.0000000012696546E-5</v>
      </c>
      <c r="L150" s="240">
        <f t="shared" si="36"/>
        <v>99.999990767029061</v>
      </c>
      <c r="M150" s="240">
        <f t="shared" si="37"/>
        <v>0</v>
      </c>
      <c r="N150" s="240">
        <f t="shared" si="38"/>
        <v>100</v>
      </c>
      <c r="O150" s="240">
        <f t="shared" si="42"/>
        <v>191.69467256637171</v>
      </c>
      <c r="P150" s="240">
        <f t="shared" si="39"/>
        <v>99.999990767029061</v>
      </c>
      <c r="Q150" s="240">
        <f t="shared" si="40"/>
        <v>207.23000000000002</v>
      </c>
      <c r="R150" s="240">
        <f t="shared" si="43"/>
        <v>191.69469026548674</v>
      </c>
    </row>
    <row r="151" spans="1:18" ht="33.75" x14ac:dyDescent="0.2">
      <c r="A151" s="234" t="s">
        <v>430</v>
      </c>
      <c r="B151" s="235">
        <v>4</v>
      </c>
      <c r="C151" s="236">
        <v>10</v>
      </c>
      <c r="D151" s="237" t="s">
        <v>431</v>
      </c>
      <c r="E151" s="238"/>
      <c r="F151" s="239"/>
      <c r="G151" s="240">
        <f t="shared" si="59"/>
        <v>226</v>
      </c>
      <c r="H151" s="240">
        <f t="shared" si="59"/>
        <v>433.23</v>
      </c>
      <c r="I151" s="240">
        <f t="shared" si="59"/>
        <v>433.22996000000001</v>
      </c>
      <c r="J151" s="240">
        <f t="shared" si="59"/>
        <v>433.22996000000001</v>
      </c>
      <c r="K151" s="240">
        <f t="shared" si="35"/>
        <v>-4.0000000012696546E-5</v>
      </c>
      <c r="L151" s="240">
        <f t="shared" si="36"/>
        <v>99.999990767029061</v>
      </c>
      <c r="M151" s="240">
        <f t="shared" si="37"/>
        <v>0</v>
      </c>
      <c r="N151" s="240">
        <f t="shared" si="38"/>
        <v>100</v>
      </c>
      <c r="O151" s="240">
        <f t="shared" si="42"/>
        <v>191.69467256637171</v>
      </c>
      <c r="P151" s="240">
        <f t="shared" si="39"/>
        <v>99.999990767029061</v>
      </c>
      <c r="Q151" s="240">
        <f t="shared" si="40"/>
        <v>207.23000000000002</v>
      </c>
      <c r="R151" s="240">
        <f t="shared" si="43"/>
        <v>191.69469026548674</v>
      </c>
    </row>
    <row r="152" spans="1:18" ht="45" x14ac:dyDescent="0.2">
      <c r="A152" s="311" t="s">
        <v>440</v>
      </c>
      <c r="B152" s="235">
        <v>4</v>
      </c>
      <c r="C152" s="236">
        <v>10</v>
      </c>
      <c r="D152" s="237" t="s">
        <v>451</v>
      </c>
      <c r="E152" s="238"/>
      <c r="F152" s="239"/>
      <c r="G152" s="240">
        <f t="shared" si="59"/>
        <v>226</v>
      </c>
      <c r="H152" s="240">
        <f t="shared" si="59"/>
        <v>433.23</v>
      </c>
      <c r="I152" s="240">
        <f t="shared" si="59"/>
        <v>433.22996000000001</v>
      </c>
      <c r="J152" s="240">
        <f t="shared" si="59"/>
        <v>433.22996000000001</v>
      </c>
      <c r="K152" s="240">
        <f t="shared" si="35"/>
        <v>-4.0000000012696546E-5</v>
      </c>
      <c r="L152" s="240">
        <f t="shared" si="36"/>
        <v>99.999990767029061</v>
      </c>
      <c r="M152" s="240">
        <f t="shared" si="37"/>
        <v>0</v>
      </c>
      <c r="N152" s="240">
        <f t="shared" si="38"/>
        <v>100</v>
      </c>
      <c r="O152" s="240">
        <f t="shared" si="42"/>
        <v>191.69467256637171</v>
      </c>
      <c r="P152" s="240">
        <f t="shared" si="39"/>
        <v>99.999990767029061</v>
      </c>
      <c r="Q152" s="240">
        <f t="shared" si="40"/>
        <v>207.23000000000002</v>
      </c>
      <c r="R152" s="240">
        <f t="shared" si="43"/>
        <v>191.69469026548674</v>
      </c>
    </row>
    <row r="153" spans="1:18" ht="22.5" x14ac:dyDescent="0.2">
      <c r="A153" s="234" t="s">
        <v>442</v>
      </c>
      <c r="B153" s="235">
        <v>4</v>
      </c>
      <c r="C153" s="236">
        <v>10</v>
      </c>
      <c r="D153" s="237" t="s">
        <v>451</v>
      </c>
      <c r="E153" s="238">
        <v>200</v>
      </c>
      <c r="F153" s="239"/>
      <c r="G153" s="240">
        <f t="shared" si="59"/>
        <v>226</v>
      </c>
      <c r="H153" s="240">
        <f t="shared" si="59"/>
        <v>433.23</v>
      </c>
      <c r="I153" s="240">
        <f t="shared" si="59"/>
        <v>433.22996000000001</v>
      </c>
      <c r="J153" s="240">
        <f t="shared" si="59"/>
        <v>433.22996000000001</v>
      </c>
      <c r="K153" s="240">
        <f t="shared" si="35"/>
        <v>-4.0000000012696546E-5</v>
      </c>
      <c r="L153" s="240">
        <f t="shared" si="36"/>
        <v>99.999990767029061</v>
      </c>
      <c r="M153" s="240">
        <f t="shared" si="37"/>
        <v>0</v>
      </c>
      <c r="N153" s="240">
        <f t="shared" si="38"/>
        <v>100</v>
      </c>
      <c r="O153" s="240">
        <f t="shared" si="42"/>
        <v>191.69467256637171</v>
      </c>
      <c r="P153" s="240">
        <f t="shared" si="39"/>
        <v>99.999990767029061</v>
      </c>
      <c r="Q153" s="240">
        <f t="shared" si="40"/>
        <v>207.23000000000002</v>
      </c>
      <c r="R153" s="240">
        <f t="shared" si="43"/>
        <v>191.69469026548674</v>
      </c>
    </row>
    <row r="154" spans="1:18" ht="33.75" x14ac:dyDescent="0.2">
      <c r="A154" s="234" t="s">
        <v>443</v>
      </c>
      <c r="B154" s="235">
        <v>4</v>
      </c>
      <c r="C154" s="236">
        <v>10</v>
      </c>
      <c r="D154" s="237" t="s">
        <v>451</v>
      </c>
      <c r="E154" s="238">
        <v>240</v>
      </c>
      <c r="F154" s="239"/>
      <c r="G154" s="240">
        <v>226</v>
      </c>
      <c r="H154" s="240">
        <v>433.23</v>
      </c>
      <c r="I154" s="240">
        <f>I155+I156</f>
        <v>433.22996000000001</v>
      </c>
      <c r="J154" s="240">
        <f>J155+J156</f>
        <v>433.22996000000001</v>
      </c>
      <c r="K154" s="240">
        <f t="shared" si="35"/>
        <v>-4.0000000012696546E-5</v>
      </c>
      <c r="L154" s="240">
        <f t="shared" si="36"/>
        <v>99.999990767029061</v>
      </c>
      <c r="M154" s="240">
        <f t="shared" si="37"/>
        <v>0</v>
      </c>
      <c r="N154" s="240">
        <f t="shared" si="38"/>
        <v>100</v>
      </c>
      <c r="O154" s="240">
        <f t="shared" si="42"/>
        <v>191.69467256637171</v>
      </c>
      <c r="P154" s="240">
        <f t="shared" si="39"/>
        <v>99.999990767029061</v>
      </c>
      <c r="Q154" s="240">
        <f t="shared" si="40"/>
        <v>207.23000000000002</v>
      </c>
      <c r="R154" s="240">
        <f t="shared" si="43"/>
        <v>191.69469026548674</v>
      </c>
    </row>
    <row r="155" spans="1:18" x14ac:dyDescent="0.2">
      <c r="A155" s="234"/>
      <c r="B155" s="235">
        <v>4</v>
      </c>
      <c r="C155" s="236">
        <v>10</v>
      </c>
      <c r="D155" s="237" t="s">
        <v>451</v>
      </c>
      <c r="E155" s="238">
        <v>244</v>
      </c>
      <c r="F155" s="239">
        <v>221</v>
      </c>
      <c r="G155" s="240"/>
      <c r="H155" s="240"/>
      <c r="I155" s="240">
        <v>72.75394</v>
      </c>
      <c r="J155" s="240">
        <v>72.75394</v>
      </c>
      <c r="K155" s="240"/>
      <c r="L155" s="240"/>
      <c r="M155" s="240">
        <f t="shared" si="37"/>
        <v>0</v>
      </c>
      <c r="N155" s="240"/>
      <c r="O155" s="240"/>
      <c r="P155" s="240"/>
      <c r="Q155" s="240"/>
      <c r="R155" s="240"/>
    </row>
    <row r="156" spans="1:18" x14ac:dyDescent="0.2">
      <c r="A156" s="234"/>
      <c r="B156" s="235">
        <v>4</v>
      </c>
      <c r="C156" s="236">
        <v>10</v>
      </c>
      <c r="D156" s="237" t="s">
        <v>451</v>
      </c>
      <c r="E156" s="238">
        <v>244</v>
      </c>
      <c r="F156" s="239">
        <v>226</v>
      </c>
      <c r="G156" s="240"/>
      <c r="H156" s="240"/>
      <c r="I156" s="240">
        <v>360.47602000000001</v>
      </c>
      <c r="J156" s="240">
        <v>360.47602000000001</v>
      </c>
      <c r="K156" s="240"/>
      <c r="L156" s="240"/>
      <c r="M156" s="240">
        <f t="shared" si="37"/>
        <v>0</v>
      </c>
      <c r="N156" s="240"/>
      <c r="O156" s="240"/>
      <c r="P156" s="240"/>
      <c r="Q156" s="240"/>
      <c r="R156" s="240"/>
    </row>
    <row r="157" spans="1:18" ht="13.5" thickBot="1" x14ac:dyDescent="0.25">
      <c r="A157" s="314" t="s">
        <v>521</v>
      </c>
      <c r="B157" s="315">
        <v>5</v>
      </c>
      <c r="C157" s="316"/>
      <c r="D157" s="317"/>
      <c r="E157" s="317"/>
      <c r="F157" s="282"/>
      <c r="G157" s="283">
        <f>G158+G189+G169</f>
        <v>3661</v>
      </c>
      <c r="H157" s="283">
        <f>H158+H189+H169</f>
        <v>8510.56</v>
      </c>
      <c r="I157" s="283">
        <f t="shared" ref="I157:J157" si="60">I158+I189+I169</f>
        <v>8510.5821300000007</v>
      </c>
      <c r="J157" s="283">
        <f t="shared" si="60"/>
        <v>8510.5821599999999</v>
      </c>
      <c r="K157" s="283">
        <f t="shared" si="35"/>
        <v>2.2130000001197914E-2</v>
      </c>
      <c r="L157" s="283">
        <f t="shared" si="36"/>
        <v>100.00026002989229</v>
      </c>
      <c r="M157" s="283">
        <f t="shared" si="37"/>
        <v>-2.9999999242136255E-5</v>
      </c>
      <c r="N157" s="283">
        <f t="shared" si="38"/>
        <v>100.00000035250231</v>
      </c>
      <c r="O157" s="283">
        <f t="shared" si="42"/>
        <v>232.4660518983884</v>
      </c>
      <c r="P157" s="283">
        <f t="shared" si="39"/>
        <v>100.00026038239554</v>
      </c>
      <c r="Q157" s="283">
        <f t="shared" si="40"/>
        <v>4849.5599999999995</v>
      </c>
      <c r="R157" s="283">
        <f t="shared" si="43"/>
        <v>232.46544659928978</v>
      </c>
    </row>
    <row r="158" spans="1:18" x14ac:dyDescent="0.2">
      <c r="A158" s="227" t="s">
        <v>522</v>
      </c>
      <c r="B158" s="228">
        <v>5</v>
      </c>
      <c r="C158" s="229">
        <v>1</v>
      </c>
      <c r="D158" s="231"/>
      <c r="E158" s="231"/>
      <c r="F158" s="232"/>
      <c r="G158" s="233">
        <f t="shared" ref="G158:J162" si="61">G159</f>
        <v>2203</v>
      </c>
      <c r="H158" s="233">
        <f t="shared" si="61"/>
        <v>2920.5</v>
      </c>
      <c r="I158" s="233">
        <f t="shared" si="61"/>
        <v>2920.5023999999999</v>
      </c>
      <c r="J158" s="233">
        <f t="shared" si="61"/>
        <v>2920.50243</v>
      </c>
      <c r="K158" s="233">
        <f t="shared" si="35"/>
        <v>2.3999999998522981E-3</v>
      </c>
      <c r="L158" s="233">
        <f t="shared" si="36"/>
        <v>100.00008217770929</v>
      </c>
      <c r="M158" s="233">
        <f t="shared" si="37"/>
        <v>-3.0000000151630957E-5</v>
      </c>
      <c r="N158" s="233">
        <f t="shared" si="38"/>
        <v>100.00000102722053</v>
      </c>
      <c r="O158" s="233">
        <f t="shared" si="42"/>
        <v>132.56933408987743</v>
      </c>
      <c r="P158" s="233">
        <f t="shared" si="39"/>
        <v>100.00008320493066</v>
      </c>
      <c r="Q158" s="233">
        <f t="shared" si="40"/>
        <v>717.5</v>
      </c>
      <c r="R158" s="233">
        <f t="shared" si="43"/>
        <v>132.56922378574671</v>
      </c>
    </row>
    <row r="159" spans="1:18" x14ac:dyDescent="0.2">
      <c r="A159" s="273" t="s">
        <v>428</v>
      </c>
      <c r="B159" s="274">
        <v>5</v>
      </c>
      <c r="C159" s="275">
        <v>1</v>
      </c>
      <c r="D159" s="276" t="s">
        <v>429</v>
      </c>
      <c r="E159" s="238"/>
      <c r="F159" s="239"/>
      <c r="G159" s="240">
        <f t="shared" si="61"/>
        <v>2203</v>
      </c>
      <c r="H159" s="240">
        <f t="shared" si="61"/>
        <v>2920.5</v>
      </c>
      <c r="I159" s="240">
        <f t="shared" si="61"/>
        <v>2920.5023999999999</v>
      </c>
      <c r="J159" s="240">
        <f t="shared" si="61"/>
        <v>2920.50243</v>
      </c>
      <c r="K159" s="240">
        <f t="shared" si="35"/>
        <v>2.3999999998522981E-3</v>
      </c>
      <c r="L159" s="240">
        <f t="shared" si="36"/>
        <v>100.00008217770929</v>
      </c>
      <c r="M159" s="240">
        <f t="shared" si="37"/>
        <v>-3.0000000151630957E-5</v>
      </c>
      <c r="N159" s="240">
        <f t="shared" si="38"/>
        <v>100.00000102722053</v>
      </c>
      <c r="O159" s="240">
        <f t="shared" si="42"/>
        <v>132.56933408987743</v>
      </c>
      <c r="P159" s="240">
        <f t="shared" si="39"/>
        <v>100.00008320493066</v>
      </c>
      <c r="Q159" s="240">
        <f t="shared" si="40"/>
        <v>717.5</v>
      </c>
      <c r="R159" s="240">
        <f t="shared" si="43"/>
        <v>132.56922378574671</v>
      </c>
    </row>
    <row r="160" spans="1:18" ht="24.75" customHeight="1" x14ac:dyDescent="0.2">
      <c r="A160" s="234" t="s">
        <v>523</v>
      </c>
      <c r="B160" s="235">
        <v>5</v>
      </c>
      <c r="C160" s="236">
        <v>1</v>
      </c>
      <c r="D160" s="237" t="s">
        <v>524</v>
      </c>
      <c r="E160" s="238"/>
      <c r="F160" s="239"/>
      <c r="G160" s="240">
        <f t="shared" si="61"/>
        <v>2203</v>
      </c>
      <c r="H160" s="240">
        <f t="shared" si="61"/>
        <v>2920.5</v>
      </c>
      <c r="I160" s="240">
        <f t="shared" si="61"/>
        <v>2920.5023999999999</v>
      </c>
      <c r="J160" s="240">
        <f t="shared" si="61"/>
        <v>2920.50243</v>
      </c>
      <c r="K160" s="240">
        <f t="shared" si="35"/>
        <v>2.3999999998522981E-3</v>
      </c>
      <c r="L160" s="240">
        <f t="shared" si="36"/>
        <v>100.00008217770929</v>
      </c>
      <c r="M160" s="240">
        <f t="shared" si="37"/>
        <v>-3.0000000151630957E-5</v>
      </c>
      <c r="N160" s="240">
        <f t="shared" si="38"/>
        <v>100.00000102722053</v>
      </c>
      <c r="O160" s="240">
        <f t="shared" si="42"/>
        <v>132.56933408987743</v>
      </c>
      <c r="P160" s="240">
        <f t="shared" si="39"/>
        <v>100.00008320493066</v>
      </c>
      <c r="Q160" s="240">
        <f t="shared" si="40"/>
        <v>717.5</v>
      </c>
      <c r="R160" s="240">
        <f t="shared" si="43"/>
        <v>132.56922378574671</v>
      </c>
    </row>
    <row r="161" spans="1:18" x14ac:dyDescent="0.2">
      <c r="A161" s="241" t="s">
        <v>489</v>
      </c>
      <c r="B161" s="242">
        <v>5</v>
      </c>
      <c r="C161" s="243">
        <v>1</v>
      </c>
      <c r="D161" s="245" t="s">
        <v>525</v>
      </c>
      <c r="E161" s="245"/>
      <c r="F161" s="246"/>
      <c r="G161" s="247">
        <f t="shared" si="61"/>
        <v>2203</v>
      </c>
      <c r="H161" s="247">
        <f t="shared" si="61"/>
        <v>2920.5</v>
      </c>
      <c r="I161" s="247">
        <f t="shared" si="61"/>
        <v>2920.5023999999999</v>
      </c>
      <c r="J161" s="247">
        <f t="shared" si="61"/>
        <v>2920.50243</v>
      </c>
      <c r="K161" s="247">
        <f t="shared" si="35"/>
        <v>2.3999999998522981E-3</v>
      </c>
      <c r="L161" s="247">
        <f t="shared" si="36"/>
        <v>100.00008217770929</v>
      </c>
      <c r="M161" s="247">
        <f t="shared" si="37"/>
        <v>-3.0000000151630957E-5</v>
      </c>
      <c r="N161" s="247">
        <f t="shared" si="38"/>
        <v>100.00000102722053</v>
      </c>
      <c r="O161" s="247">
        <f t="shared" si="42"/>
        <v>132.56933408987743</v>
      </c>
      <c r="P161" s="247">
        <f t="shared" si="39"/>
        <v>100.00008320493066</v>
      </c>
      <c r="Q161" s="247">
        <f t="shared" si="40"/>
        <v>717.5</v>
      </c>
      <c r="R161" s="247">
        <f t="shared" si="43"/>
        <v>132.56922378574671</v>
      </c>
    </row>
    <row r="162" spans="1:18" ht="22.5" x14ac:dyDescent="0.2">
      <c r="A162" s="234" t="s">
        <v>442</v>
      </c>
      <c r="B162" s="235">
        <v>5</v>
      </c>
      <c r="C162" s="236">
        <v>1</v>
      </c>
      <c r="D162" s="238" t="s">
        <v>525</v>
      </c>
      <c r="E162" s="238">
        <v>200</v>
      </c>
      <c r="F162" s="239"/>
      <c r="G162" s="240">
        <f t="shared" si="61"/>
        <v>2203</v>
      </c>
      <c r="H162" s="240">
        <f t="shared" si="61"/>
        <v>2920.5</v>
      </c>
      <c r="I162" s="240">
        <f t="shared" si="61"/>
        <v>2920.5023999999999</v>
      </c>
      <c r="J162" s="240">
        <f t="shared" si="61"/>
        <v>2920.50243</v>
      </c>
      <c r="K162" s="240">
        <f t="shared" si="35"/>
        <v>2.3999999998522981E-3</v>
      </c>
      <c r="L162" s="240">
        <f t="shared" si="36"/>
        <v>100.00008217770929</v>
      </c>
      <c r="M162" s="240">
        <f t="shared" si="37"/>
        <v>-3.0000000151630957E-5</v>
      </c>
      <c r="N162" s="240">
        <f t="shared" si="38"/>
        <v>100.00000102722053</v>
      </c>
      <c r="O162" s="240">
        <f t="shared" si="42"/>
        <v>132.56933408987743</v>
      </c>
      <c r="P162" s="240">
        <f t="shared" si="39"/>
        <v>100.00008320493066</v>
      </c>
      <c r="Q162" s="240">
        <f t="shared" si="40"/>
        <v>717.5</v>
      </c>
      <c r="R162" s="240">
        <f t="shared" si="43"/>
        <v>132.56922378574671</v>
      </c>
    </row>
    <row r="163" spans="1:18" ht="33.75" x14ac:dyDescent="0.2">
      <c r="A163" s="234" t="s">
        <v>443</v>
      </c>
      <c r="B163" s="235">
        <v>5</v>
      </c>
      <c r="C163" s="236">
        <v>1</v>
      </c>
      <c r="D163" s="238" t="s">
        <v>525</v>
      </c>
      <c r="E163" s="238">
        <v>240</v>
      </c>
      <c r="F163" s="239"/>
      <c r="G163" s="240">
        <v>2203</v>
      </c>
      <c r="H163" s="240">
        <v>2920.5</v>
      </c>
      <c r="I163" s="240">
        <f>I164+I165+I166+I167+I168</f>
        <v>2920.5023999999999</v>
      </c>
      <c r="J163" s="240">
        <f>J164+J165+J166+J167+J168</f>
        <v>2920.50243</v>
      </c>
      <c r="K163" s="240">
        <f t="shared" si="35"/>
        <v>2.3999999998522981E-3</v>
      </c>
      <c r="L163" s="240">
        <f t="shared" si="36"/>
        <v>100.00008217770929</v>
      </c>
      <c r="M163" s="240">
        <f t="shared" si="37"/>
        <v>-3.0000000151630957E-5</v>
      </c>
      <c r="N163" s="240">
        <f t="shared" si="38"/>
        <v>100.00000102722053</v>
      </c>
      <c r="O163" s="240">
        <f t="shared" si="42"/>
        <v>132.56933408987743</v>
      </c>
      <c r="P163" s="240">
        <f t="shared" si="39"/>
        <v>100.00008320493066</v>
      </c>
      <c r="Q163" s="240">
        <f t="shared" si="40"/>
        <v>717.5</v>
      </c>
      <c r="R163" s="240">
        <f t="shared" si="43"/>
        <v>132.56922378574671</v>
      </c>
    </row>
    <row r="164" spans="1:18" ht="16.5" customHeight="1" x14ac:dyDescent="0.2">
      <c r="A164" s="234"/>
      <c r="B164" s="235">
        <v>5</v>
      </c>
      <c r="C164" s="236">
        <v>1</v>
      </c>
      <c r="D164" s="238" t="s">
        <v>525</v>
      </c>
      <c r="E164" s="238">
        <v>244</v>
      </c>
      <c r="F164" s="239">
        <v>222</v>
      </c>
      <c r="G164" s="240"/>
      <c r="H164" s="240"/>
      <c r="I164" s="240">
        <v>0.92200000000000004</v>
      </c>
      <c r="J164" s="240">
        <v>0.92203000000000002</v>
      </c>
      <c r="K164" s="240"/>
      <c r="L164" s="240"/>
      <c r="M164" s="240">
        <f t="shared" si="37"/>
        <v>-2.9999999999974492E-5</v>
      </c>
      <c r="N164" s="240"/>
      <c r="O164" s="240"/>
      <c r="P164" s="240"/>
      <c r="Q164" s="240"/>
      <c r="R164" s="240"/>
    </row>
    <row r="165" spans="1:18" ht="16.5" customHeight="1" x14ac:dyDescent="0.2">
      <c r="A165" s="234"/>
      <c r="B165" s="235">
        <v>5</v>
      </c>
      <c r="C165" s="236">
        <v>1</v>
      </c>
      <c r="D165" s="238" t="s">
        <v>525</v>
      </c>
      <c r="E165" s="238">
        <v>244</v>
      </c>
      <c r="F165" s="239">
        <v>224</v>
      </c>
      <c r="G165" s="240"/>
      <c r="H165" s="240"/>
      <c r="I165" s="240">
        <v>12</v>
      </c>
      <c r="J165" s="240">
        <v>12</v>
      </c>
      <c r="K165" s="240"/>
      <c r="L165" s="240"/>
      <c r="M165" s="240">
        <f t="shared" si="37"/>
        <v>0</v>
      </c>
      <c r="N165" s="240"/>
      <c r="O165" s="240"/>
      <c r="P165" s="240"/>
      <c r="Q165" s="240"/>
      <c r="R165" s="240"/>
    </row>
    <row r="166" spans="1:18" ht="12.75" customHeight="1" x14ac:dyDescent="0.2">
      <c r="A166" s="234"/>
      <c r="B166" s="235">
        <v>5</v>
      </c>
      <c r="C166" s="236">
        <v>1</v>
      </c>
      <c r="D166" s="238" t="s">
        <v>525</v>
      </c>
      <c r="E166" s="238">
        <v>244</v>
      </c>
      <c r="F166" s="239">
        <v>225</v>
      </c>
      <c r="G166" s="240"/>
      <c r="H166" s="240"/>
      <c r="I166" s="240">
        <v>2115.8318399999998</v>
      </c>
      <c r="J166" s="240">
        <v>2115.8318399999998</v>
      </c>
      <c r="K166" s="240"/>
      <c r="L166" s="240"/>
      <c r="M166" s="240">
        <f t="shared" si="37"/>
        <v>0</v>
      </c>
      <c r="N166" s="240"/>
      <c r="O166" s="240"/>
      <c r="P166" s="240"/>
      <c r="Q166" s="240"/>
      <c r="R166" s="240"/>
    </row>
    <row r="167" spans="1:18" ht="16.5" customHeight="1" x14ac:dyDescent="0.2">
      <c r="A167" s="234"/>
      <c r="B167" s="235">
        <v>5</v>
      </c>
      <c r="C167" s="236">
        <v>1</v>
      </c>
      <c r="D167" s="238" t="s">
        <v>525</v>
      </c>
      <c r="E167" s="238">
        <v>244</v>
      </c>
      <c r="F167" s="239">
        <v>226</v>
      </c>
      <c r="G167" s="240"/>
      <c r="H167" s="240"/>
      <c r="I167" s="240">
        <v>49.344740000000002</v>
      </c>
      <c r="J167" s="240">
        <v>49.344740000000002</v>
      </c>
      <c r="K167" s="240"/>
      <c r="L167" s="240"/>
      <c r="M167" s="240">
        <f t="shared" si="37"/>
        <v>0</v>
      </c>
      <c r="N167" s="240"/>
      <c r="O167" s="240"/>
      <c r="P167" s="240"/>
      <c r="Q167" s="240"/>
      <c r="R167" s="240"/>
    </row>
    <row r="168" spans="1:18" ht="14.25" customHeight="1" x14ac:dyDescent="0.2">
      <c r="A168" s="234"/>
      <c r="B168" s="235">
        <v>5</v>
      </c>
      <c r="C168" s="236">
        <v>1</v>
      </c>
      <c r="D168" s="238" t="s">
        <v>525</v>
      </c>
      <c r="E168" s="238">
        <v>244</v>
      </c>
      <c r="F168" s="239">
        <v>340</v>
      </c>
      <c r="G168" s="240"/>
      <c r="H168" s="240"/>
      <c r="I168" s="240">
        <v>742.40382</v>
      </c>
      <c r="J168" s="240">
        <v>742.40382</v>
      </c>
      <c r="K168" s="240"/>
      <c r="L168" s="240"/>
      <c r="M168" s="240">
        <f t="shared" si="37"/>
        <v>0</v>
      </c>
      <c r="N168" s="240"/>
      <c r="O168" s="240"/>
      <c r="P168" s="240"/>
      <c r="Q168" s="240"/>
      <c r="R168" s="240"/>
    </row>
    <row r="169" spans="1:18" x14ac:dyDescent="0.2">
      <c r="A169" s="249" t="s">
        <v>264</v>
      </c>
      <c r="B169" s="250">
        <v>5</v>
      </c>
      <c r="C169" s="251">
        <v>2</v>
      </c>
      <c r="D169" s="252"/>
      <c r="E169" s="252"/>
      <c r="F169" s="253"/>
      <c r="G169" s="254">
        <f>G170+G180</f>
        <v>0</v>
      </c>
      <c r="H169" s="254">
        <f>H170+H180</f>
        <v>613.99</v>
      </c>
      <c r="I169" s="254">
        <f t="shared" ref="I169:J169" si="62">I170+I180</f>
        <v>613.98614999999995</v>
      </c>
      <c r="J169" s="254">
        <f t="shared" si="62"/>
        <v>613.98614999999995</v>
      </c>
      <c r="K169" s="254">
        <f t="shared" si="35"/>
        <v>-3.8500000000567525E-3</v>
      </c>
      <c r="L169" s="254">
        <f t="shared" si="36"/>
        <v>99.999372953956893</v>
      </c>
      <c r="M169" s="254">
        <f t="shared" si="37"/>
        <v>0</v>
      </c>
      <c r="N169" s="254">
        <f t="shared" si="38"/>
        <v>100</v>
      </c>
      <c r="O169" s="254">
        <v>0</v>
      </c>
      <c r="P169" s="254">
        <f t="shared" si="39"/>
        <v>99.999372953956893</v>
      </c>
      <c r="Q169" s="254">
        <f t="shared" si="40"/>
        <v>613.99</v>
      </c>
      <c r="R169" s="254">
        <v>100</v>
      </c>
    </row>
    <row r="170" spans="1:18" ht="57.75" hidden="1" customHeight="1" x14ac:dyDescent="0.2">
      <c r="A170" s="307" t="s">
        <v>526</v>
      </c>
      <c r="B170" s="292" t="s">
        <v>262</v>
      </c>
      <c r="C170" s="292" t="s">
        <v>237</v>
      </c>
      <c r="D170" s="292" t="s">
        <v>527</v>
      </c>
      <c r="E170" s="238"/>
      <c r="F170" s="239"/>
      <c r="G170" s="240">
        <f>G171</f>
        <v>0</v>
      </c>
      <c r="H170" s="240">
        <f>H171</f>
        <v>0</v>
      </c>
      <c r="I170" s="240">
        <f t="shared" ref="I170:J171" si="63">I171</f>
        <v>0</v>
      </c>
      <c r="J170" s="240">
        <f t="shared" si="63"/>
        <v>0</v>
      </c>
      <c r="K170" s="240">
        <f t="shared" si="35"/>
        <v>0</v>
      </c>
      <c r="L170" s="240" t="e">
        <f t="shared" si="36"/>
        <v>#DIV/0!</v>
      </c>
      <c r="M170" s="240">
        <f t="shared" si="37"/>
        <v>0</v>
      </c>
      <c r="N170" s="240" t="e">
        <f t="shared" si="38"/>
        <v>#DIV/0!</v>
      </c>
      <c r="O170" s="240" t="e">
        <f t="shared" si="42"/>
        <v>#DIV/0!</v>
      </c>
      <c r="P170" s="240" t="e">
        <f t="shared" si="39"/>
        <v>#DIV/0!</v>
      </c>
      <c r="Q170" s="240">
        <f t="shared" si="40"/>
        <v>0</v>
      </c>
      <c r="R170" s="240" t="e">
        <f t="shared" si="43"/>
        <v>#DIV/0!</v>
      </c>
    </row>
    <row r="171" spans="1:18" ht="33.75" hidden="1" x14ac:dyDescent="0.2">
      <c r="A171" s="307" t="s">
        <v>528</v>
      </c>
      <c r="B171" s="292" t="s">
        <v>262</v>
      </c>
      <c r="C171" s="292" t="s">
        <v>237</v>
      </c>
      <c r="D171" s="292" t="s">
        <v>529</v>
      </c>
      <c r="E171" s="238"/>
      <c r="F171" s="239"/>
      <c r="G171" s="240">
        <f>G172</f>
        <v>0</v>
      </c>
      <c r="H171" s="240">
        <f>H172</f>
        <v>0</v>
      </c>
      <c r="I171" s="240">
        <f t="shared" si="63"/>
        <v>0</v>
      </c>
      <c r="J171" s="240">
        <f t="shared" si="63"/>
        <v>0</v>
      </c>
      <c r="K171" s="240">
        <f t="shared" si="35"/>
        <v>0</v>
      </c>
      <c r="L171" s="240" t="e">
        <f t="shared" si="36"/>
        <v>#DIV/0!</v>
      </c>
      <c r="M171" s="240">
        <f t="shared" si="37"/>
        <v>0</v>
      </c>
      <c r="N171" s="240" t="e">
        <f t="shared" si="38"/>
        <v>#DIV/0!</v>
      </c>
      <c r="O171" s="240" t="e">
        <f t="shared" si="42"/>
        <v>#DIV/0!</v>
      </c>
      <c r="P171" s="240" t="e">
        <f t="shared" si="39"/>
        <v>#DIV/0!</v>
      </c>
      <c r="Q171" s="240">
        <f t="shared" si="40"/>
        <v>0</v>
      </c>
      <c r="R171" s="240" t="e">
        <f t="shared" si="43"/>
        <v>#DIV/0!</v>
      </c>
    </row>
    <row r="172" spans="1:18" ht="33.75" hidden="1" x14ac:dyDescent="0.2">
      <c r="A172" s="307" t="s">
        <v>530</v>
      </c>
      <c r="B172" s="292" t="s">
        <v>262</v>
      </c>
      <c r="C172" s="292" t="s">
        <v>237</v>
      </c>
      <c r="D172" s="292" t="s">
        <v>531</v>
      </c>
      <c r="E172" s="238"/>
      <c r="F172" s="239"/>
      <c r="G172" s="240">
        <f>G173+G177</f>
        <v>0</v>
      </c>
      <c r="H172" s="240">
        <f>H173+H177</f>
        <v>0</v>
      </c>
      <c r="I172" s="240">
        <f t="shared" ref="I172:J172" si="64">I173+I177</f>
        <v>0</v>
      </c>
      <c r="J172" s="240">
        <f t="shared" si="64"/>
        <v>0</v>
      </c>
      <c r="K172" s="240">
        <f t="shared" si="35"/>
        <v>0</v>
      </c>
      <c r="L172" s="240" t="e">
        <f t="shared" si="36"/>
        <v>#DIV/0!</v>
      </c>
      <c r="M172" s="240">
        <f t="shared" si="37"/>
        <v>0</v>
      </c>
      <c r="N172" s="240" t="e">
        <f t="shared" si="38"/>
        <v>#DIV/0!</v>
      </c>
      <c r="O172" s="240" t="e">
        <f t="shared" si="42"/>
        <v>#DIV/0!</v>
      </c>
      <c r="P172" s="240" t="e">
        <f t="shared" si="39"/>
        <v>#DIV/0!</v>
      </c>
      <c r="Q172" s="240">
        <f t="shared" si="40"/>
        <v>0</v>
      </c>
      <c r="R172" s="240" t="e">
        <f t="shared" si="43"/>
        <v>#DIV/0!</v>
      </c>
    </row>
    <row r="173" spans="1:18" ht="22.5" hidden="1" x14ac:dyDescent="0.2">
      <c r="A173" s="241" t="s">
        <v>532</v>
      </c>
      <c r="B173" s="291" t="s">
        <v>262</v>
      </c>
      <c r="C173" s="291" t="s">
        <v>237</v>
      </c>
      <c r="D173" s="291" t="s">
        <v>533</v>
      </c>
      <c r="E173" s="245"/>
      <c r="F173" s="246"/>
      <c r="G173" s="247">
        <f t="shared" ref="G173:J175" si="65">G174</f>
        <v>0</v>
      </c>
      <c r="H173" s="247">
        <f t="shared" si="65"/>
        <v>0</v>
      </c>
      <c r="I173" s="247">
        <f t="shared" si="65"/>
        <v>0</v>
      </c>
      <c r="J173" s="247">
        <f t="shared" si="65"/>
        <v>0</v>
      </c>
      <c r="K173" s="247">
        <f t="shared" si="35"/>
        <v>0</v>
      </c>
      <c r="L173" s="247" t="e">
        <f t="shared" si="36"/>
        <v>#DIV/0!</v>
      </c>
      <c r="M173" s="247">
        <f t="shared" si="37"/>
        <v>0</v>
      </c>
      <c r="N173" s="247" t="e">
        <f t="shared" si="38"/>
        <v>#DIV/0!</v>
      </c>
      <c r="O173" s="247" t="e">
        <f t="shared" si="42"/>
        <v>#DIV/0!</v>
      </c>
      <c r="P173" s="247" t="e">
        <f t="shared" si="39"/>
        <v>#DIV/0!</v>
      </c>
      <c r="Q173" s="247">
        <f t="shared" si="40"/>
        <v>0</v>
      </c>
      <c r="R173" s="247" t="e">
        <f t="shared" si="43"/>
        <v>#DIV/0!</v>
      </c>
    </row>
    <row r="174" spans="1:18" ht="52.5" hidden="1" customHeight="1" x14ac:dyDescent="0.2">
      <c r="A174" s="248" t="s">
        <v>534</v>
      </c>
      <c r="B174" s="292" t="s">
        <v>262</v>
      </c>
      <c r="C174" s="292" t="s">
        <v>237</v>
      </c>
      <c r="D174" s="292" t="s">
        <v>535</v>
      </c>
      <c r="E174" s="238" t="s">
        <v>457</v>
      </c>
      <c r="F174" s="239"/>
      <c r="G174" s="240">
        <f t="shared" si="65"/>
        <v>0</v>
      </c>
      <c r="H174" s="240">
        <f t="shared" si="65"/>
        <v>0</v>
      </c>
      <c r="I174" s="240">
        <f t="shared" si="65"/>
        <v>0</v>
      </c>
      <c r="J174" s="240">
        <f t="shared" si="65"/>
        <v>0</v>
      </c>
      <c r="K174" s="240">
        <f t="shared" si="35"/>
        <v>0</v>
      </c>
      <c r="L174" s="240" t="e">
        <f t="shared" si="36"/>
        <v>#DIV/0!</v>
      </c>
      <c r="M174" s="240">
        <f t="shared" si="37"/>
        <v>0</v>
      </c>
      <c r="N174" s="240" t="e">
        <f t="shared" si="38"/>
        <v>#DIV/0!</v>
      </c>
      <c r="O174" s="240" t="e">
        <f t="shared" si="42"/>
        <v>#DIV/0!</v>
      </c>
      <c r="P174" s="240" t="e">
        <f t="shared" si="39"/>
        <v>#DIV/0!</v>
      </c>
      <c r="Q174" s="240">
        <f t="shared" si="40"/>
        <v>0</v>
      </c>
      <c r="R174" s="240" t="e">
        <f t="shared" si="43"/>
        <v>#DIV/0!</v>
      </c>
    </row>
    <row r="175" spans="1:18" hidden="1" x14ac:dyDescent="0.2">
      <c r="A175" s="234" t="s">
        <v>448</v>
      </c>
      <c r="B175" s="292" t="s">
        <v>262</v>
      </c>
      <c r="C175" s="292" t="s">
        <v>237</v>
      </c>
      <c r="D175" s="292" t="s">
        <v>535</v>
      </c>
      <c r="E175" s="238">
        <v>800</v>
      </c>
      <c r="F175" s="239"/>
      <c r="G175" s="240">
        <f t="shared" si="65"/>
        <v>0</v>
      </c>
      <c r="H175" s="240">
        <f t="shared" si="65"/>
        <v>0</v>
      </c>
      <c r="I175" s="240">
        <f t="shared" si="65"/>
        <v>0</v>
      </c>
      <c r="J175" s="240">
        <f t="shared" si="65"/>
        <v>0</v>
      </c>
      <c r="K175" s="240">
        <f t="shared" si="35"/>
        <v>0</v>
      </c>
      <c r="L175" s="240" t="e">
        <f t="shared" si="36"/>
        <v>#DIV/0!</v>
      </c>
      <c r="M175" s="240">
        <f t="shared" si="37"/>
        <v>0</v>
      </c>
      <c r="N175" s="240" t="e">
        <f t="shared" si="38"/>
        <v>#DIV/0!</v>
      </c>
      <c r="O175" s="240" t="e">
        <f t="shared" si="42"/>
        <v>#DIV/0!</v>
      </c>
      <c r="P175" s="240" t="e">
        <f t="shared" si="39"/>
        <v>#DIV/0!</v>
      </c>
      <c r="Q175" s="240">
        <f t="shared" si="40"/>
        <v>0</v>
      </c>
      <c r="R175" s="240" t="e">
        <f t="shared" si="43"/>
        <v>#DIV/0!</v>
      </c>
    </row>
    <row r="176" spans="1:18" ht="45" hidden="1" x14ac:dyDescent="0.2">
      <c r="A176" s="234" t="s">
        <v>507</v>
      </c>
      <c r="B176" s="292" t="s">
        <v>262</v>
      </c>
      <c r="C176" s="292" t="s">
        <v>237</v>
      </c>
      <c r="D176" s="292" t="s">
        <v>535</v>
      </c>
      <c r="E176" s="238">
        <v>810</v>
      </c>
      <c r="F176" s="239"/>
      <c r="G176" s="240"/>
      <c r="H176" s="240">
        <v>0</v>
      </c>
      <c r="I176" s="240"/>
      <c r="J176" s="240"/>
      <c r="K176" s="240">
        <f t="shared" si="35"/>
        <v>0</v>
      </c>
      <c r="L176" s="240" t="e">
        <f t="shared" si="36"/>
        <v>#DIV/0!</v>
      </c>
      <c r="M176" s="240">
        <f t="shared" si="37"/>
        <v>0</v>
      </c>
      <c r="N176" s="240" t="e">
        <f t="shared" si="38"/>
        <v>#DIV/0!</v>
      </c>
      <c r="O176" s="240" t="e">
        <f t="shared" si="42"/>
        <v>#DIV/0!</v>
      </c>
      <c r="P176" s="240" t="e">
        <f t="shared" si="39"/>
        <v>#DIV/0!</v>
      </c>
      <c r="Q176" s="240">
        <f t="shared" si="40"/>
        <v>0</v>
      </c>
      <c r="R176" s="240" t="e">
        <f t="shared" si="43"/>
        <v>#DIV/0!</v>
      </c>
    </row>
    <row r="177" spans="1:18" ht="33.75" hidden="1" x14ac:dyDescent="0.2">
      <c r="A177" s="293" t="s">
        <v>536</v>
      </c>
      <c r="B177" s="291" t="s">
        <v>262</v>
      </c>
      <c r="C177" s="291" t="s">
        <v>237</v>
      </c>
      <c r="D177" s="291" t="s">
        <v>537</v>
      </c>
      <c r="E177" s="245"/>
      <c r="F177" s="246"/>
      <c r="G177" s="247">
        <f>G178</f>
        <v>0</v>
      </c>
      <c r="H177" s="247">
        <f>H178</f>
        <v>0</v>
      </c>
      <c r="I177" s="247">
        <f t="shared" ref="I177:J178" si="66">I178</f>
        <v>0</v>
      </c>
      <c r="J177" s="247">
        <f t="shared" si="66"/>
        <v>0</v>
      </c>
      <c r="K177" s="247">
        <f t="shared" ref="K177:K271" si="67">I177-H177</f>
        <v>0</v>
      </c>
      <c r="L177" s="247" t="e">
        <f t="shared" ref="L177:L271" si="68">I177/H177*100</f>
        <v>#DIV/0!</v>
      </c>
      <c r="M177" s="247">
        <f t="shared" ref="M177:M271" si="69">I177-J177</f>
        <v>0</v>
      </c>
      <c r="N177" s="247" t="e">
        <f t="shared" ref="N177:N271" si="70">J177/I177*100</f>
        <v>#DIV/0!</v>
      </c>
      <c r="O177" s="247" t="e">
        <f t="shared" ref="O177:O269" si="71">J177/G177*100</f>
        <v>#DIV/0!</v>
      </c>
      <c r="P177" s="247" t="e">
        <f t="shared" ref="P177:P271" si="72">J177/H177*100</f>
        <v>#DIV/0!</v>
      </c>
      <c r="Q177" s="247">
        <f t="shared" ref="Q177:Q271" si="73">H177-G177</f>
        <v>0</v>
      </c>
      <c r="R177" s="247" t="e">
        <f t="shared" ref="R177:R269" si="74">H177/G177*100</f>
        <v>#DIV/0!</v>
      </c>
    </row>
    <row r="178" spans="1:18" hidden="1" x14ac:dyDescent="0.2">
      <c r="A178" s="234" t="s">
        <v>448</v>
      </c>
      <c r="B178" s="292" t="s">
        <v>262</v>
      </c>
      <c r="C178" s="292" t="s">
        <v>237</v>
      </c>
      <c r="D178" s="292" t="s">
        <v>537</v>
      </c>
      <c r="E178" s="238">
        <v>800</v>
      </c>
      <c r="F178" s="239"/>
      <c r="G178" s="240">
        <f>G179</f>
        <v>0</v>
      </c>
      <c r="H178" s="240">
        <f>H179</f>
        <v>0</v>
      </c>
      <c r="I178" s="240">
        <f t="shared" si="66"/>
        <v>0</v>
      </c>
      <c r="J178" s="240">
        <f t="shared" si="66"/>
        <v>0</v>
      </c>
      <c r="K178" s="240">
        <f t="shared" si="67"/>
        <v>0</v>
      </c>
      <c r="L178" s="240" t="e">
        <f t="shared" si="68"/>
        <v>#DIV/0!</v>
      </c>
      <c r="M178" s="240">
        <f t="shared" si="69"/>
        <v>0</v>
      </c>
      <c r="N178" s="240" t="e">
        <f t="shared" si="70"/>
        <v>#DIV/0!</v>
      </c>
      <c r="O178" s="240" t="e">
        <f t="shared" si="71"/>
        <v>#DIV/0!</v>
      </c>
      <c r="P178" s="240" t="e">
        <f t="shared" si="72"/>
        <v>#DIV/0!</v>
      </c>
      <c r="Q178" s="240">
        <f t="shared" si="73"/>
        <v>0</v>
      </c>
      <c r="R178" s="240" t="e">
        <f t="shared" si="74"/>
        <v>#DIV/0!</v>
      </c>
    </row>
    <row r="179" spans="1:18" ht="45" hidden="1" x14ac:dyDescent="0.2">
      <c r="A179" s="234" t="s">
        <v>507</v>
      </c>
      <c r="B179" s="292" t="s">
        <v>262</v>
      </c>
      <c r="C179" s="292" t="s">
        <v>237</v>
      </c>
      <c r="D179" s="292" t="s">
        <v>537</v>
      </c>
      <c r="E179" s="238">
        <v>810</v>
      </c>
      <c r="F179" s="239"/>
      <c r="G179" s="240"/>
      <c r="H179" s="240">
        <v>0</v>
      </c>
      <c r="I179" s="240"/>
      <c r="J179" s="240"/>
      <c r="K179" s="240">
        <f t="shared" si="67"/>
        <v>0</v>
      </c>
      <c r="L179" s="240" t="e">
        <f t="shared" si="68"/>
        <v>#DIV/0!</v>
      </c>
      <c r="M179" s="240">
        <f t="shared" si="69"/>
        <v>0</v>
      </c>
      <c r="N179" s="240" t="e">
        <f t="shared" si="70"/>
        <v>#DIV/0!</v>
      </c>
      <c r="O179" s="240" t="e">
        <f t="shared" si="71"/>
        <v>#DIV/0!</v>
      </c>
      <c r="P179" s="240" t="e">
        <f t="shared" si="72"/>
        <v>#DIV/0!</v>
      </c>
      <c r="Q179" s="240">
        <f t="shared" si="73"/>
        <v>0</v>
      </c>
      <c r="R179" s="240" t="e">
        <f t="shared" si="74"/>
        <v>#DIV/0!</v>
      </c>
    </row>
    <row r="180" spans="1:18" x14ac:dyDescent="0.2">
      <c r="A180" s="273" t="s">
        <v>428</v>
      </c>
      <c r="B180" s="292" t="s">
        <v>262</v>
      </c>
      <c r="C180" s="292" t="s">
        <v>237</v>
      </c>
      <c r="D180" s="276" t="s">
        <v>429</v>
      </c>
      <c r="E180" s="238"/>
      <c r="F180" s="239"/>
      <c r="G180" s="240">
        <f t="shared" ref="G180:J183" si="75">G181</f>
        <v>0</v>
      </c>
      <c r="H180" s="240">
        <f t="shared" si="75"/>
        <v>613.99</v>
      </c>
      <c r="I180" s="240">
        <f t="shared" si="75"/>
        <v>613.98614999999995</v>
      </c>
      <c r="J180" s="240">
        <f t="shared" si="75"/>
        <v>613.98614999999995</v>
      </c>
      <c r="K180" s="240">
        <f t="shared" si="67"/>
        <v>-3.8500000000567525E-3</v>
      </c>
      <c r="L180" s="240">
        <f t="shared" si="68"/>
        <v>99.999372953956893</v>
      </c>
      <c r="M180" s="240">
        <f t="shared" si="69"/>
        <v>0</v>
      </c>
      <c r="N180" s="240">
        <f t="shared" si="70"/>
        <v>100</v>
      </c>
      <c r="O180" s="240">
        <v>0</v>
      </c>
      <c r="P180" s="240">
        <f t="shared" si="72"/>
        <v>99.999372953956893</v>
      </c>
      <c r="Q180" s="240">
        <f t="shared" si="73"/>
        <v>613.99</v>
      </c>
      <c r="R180" s="240">
        <v>100</v>
      </c>
    </row>
    <row r="181" spans="1:18" ht="22.5" x14ac:dyDescent="0.2">
      <c r="A181" s="234" t="s">
        <v>523</v>
      </c>
      <c r="B181" s="292" t="s">
        <v>262</v>
      </c>
      <c r="C181" s="292" t="s">
        <v>237</v>
      </c>
      <c r="D181" s="237" t="s">
        <v>524</v>
      </c>
      <c r="E181" s="238"/>
      <c r="F181" s="239"/>
      <c r="G181" s="240">
        <f t="shared" si="75"/>
        <v>0</v>
      </c>
      <c r="H181" s="240">
        <f t="shared" si="75"/>
        <v>613.99</v>
      </c>
      <c r="I181" s="240">
        <f t="shared" si="75"/>
        <v>613.98614999999995</v>
      </c>
      <c r="J181" s="240">
        <f t="shared" si="75"/>
        <v>613.98614999999995</v>
      </c>
      <c r="K181" s="240">
        <f t="shared" si="67"/>
        <v>-3.8500000000567525E-3</v>
      </c>
      <c r="L181" s="240">
        <f t="shared" si="68"/>
        <v>99.999372953956893</v>
      </c>
      <c r="M181" s="240">
        <f t="shared" si="69"/>
        <v>0</v>
      </c>
      <c r="N181" s="240">
        <f t="shared" si="70"/>
        <v>100</v>
      </c>
      <c r="O181" s="240">
        <v>0</v>
      </c>
      <c r="P181" s="240">
        <f t="shared" si="72"/>
        <v>99.999372953956893</v>
      </c>
      <c r="Q181" s="240">
        <f t="shared" si="73"/>
        <v>613.99</v>
      </c>
      <c r="R181" s="240">
        <v>100</v>
      </c>
    </row>
    <row r="182" spans="1:18" x14ac:dyDescent="0.2">
      <c r="A182" s="241" t="s">
        <v>489</v>
      </c>
      <c r="B182" s="242">
        <v>5</v>
      </c>
      <c r="C182" s="243">
        <v>2</v>
      </c>
      <c r="D182" s="245" t="s">
        <v>525</v>
      </c>
      <c r="E182" s="245"/>
      <c r="F182" s="246"/>
      <c r="G182" s="247">
        <f t="shared" si="75"/>
        <v>0</v>
      </c>
      <c r="H182" s="247">
        <f t="shared" si="75"/>
        <v>613.99</v>
      </c>
      <c r="I182" s="247">
        <f t="shared" si="75"/>
        <v>613.98614999999995</v>
      </c>
      <c r="J182" s="247">
        <f t="shared" si="75"/>
        <v>613.98614999999995</v>
      </c>
      <c r="K182" s="247">
        <f t="shared" si="67"/>
        <v>-3.8500000000567525E-3</v>
      </c>
      <c r="L182" s="247">
        <f t="shared" si="68"/>
        <v>99.999372953956893</v>
      </c>
      <c r="M182" s="247">
        <f t="shared" si="69"/>
        <v>0</v>
      </c>
      <c r="N182" s="247">
        <f t="shared" si="70"/>
        <v>100</v>
      </c>
      <c r="O182" s="247">
        <v>0</v>
      </c>
      <c r="P182" s="247">
        <f t="shared" si="72"/>
        <v>99.999372953956893</v>
      </c>
      <c r="Q182" s="247">
        <f t="shared" si="73"/>
        <v>613.99</v>
      </c>
      <c r="R182" s="247">
        <v>100</v>
      </c>
    </row>
    <row r="183" spans="1:18" ht="22.5" x14ac:dyDescent="0.2">
      <c r="A183" s="234" t="s">
        <v>442</v>
      </c>
      <c r="B183" s="292" t="s">
        <v>262</v>
      </c>
      <c r="C183" s="292" t="s">
        <v>237</v>
      </c>
      <c r="D183" s="238" t="s">
        <v>525</v>
      </c>
      <c r="E183" s="238">
        <v>200</v>
      </c>
      <c r="F183" s="239"/>
      <c r="G183" s="240">
        <f t="shared" si="75"/>
        <v>0</v>
      </c>
      <c r="H183" s="240">
        <f t="shared" si="75"/>
        <v>613.99</v>
      </c>
      <c r="I183" s="240">
        <f t="shared" si="75"/>
        <v>613.98614999999995</v>
      </c>
      <c r="J183" s="240">
        <f t="shared" si="75"/>
        <v>613.98614999999995</v>
      </c>
      <c r="K183" s="240">
        <f t="shared" si="67"/>
        <v>-3.8500000000567525E-3</v>
      </c>
      <c r="L183" s="240">
        <f t="shared" si="68"/>
        <v>99.999372953956893</v>
      </c>
      <c r="M183" s="240">
        <f t="shared" si="69"/>
        <v>0</v>
      </c>
      <c r="N183" s="240">
        <f t="shared" si="70"/>
        <v>100</v>
      </c>
      <c r="O183" s="240">
        <v>0</v>
      </c>
      <c r="P183" s="240">
        <f t="shared" si="72"/>
        <v>99.999372953956893</v>
      </c>
      <c r="Q183" s="240">
        <f t="shared" si="73"/>
        <v>613.99</v>
      </c>
      <c r="R183" s="240">
        <v>100</v>
      </c>
    </row>
    <row r="184" spans="1:18" ht="33.75" x14ac:dyDescent="0.2">
      <c r="A184" s="234" t="s">
        <v>443</v>
      </c>
      <c r="B184" s="292" t="s">
        <v>262</v>
      </c>
      <c r="C184" s="292" t="s">
        <v>237</v>
      </c>
      <c r="D184" s="238" t="s">
        <v>525</v>
      </c>
      <c r="E184" s="238">
        <v>240</v>
      </c>
      <c r="F184" s="239"/>
      <c r="G184" s="240"/>
      <c r="H184" s="240">
        <v>613.99</v>
      </c>
      <c r="I184" s="240">
        <f>I185+I186+I187+I188</f>
        <v>613.98614999999995</v>
      </c>
      <c r="J184" s="240">
        <f>J185+J186+J187+J188</f>
        <v>613.98614999999995</v>
      </c>
      <c r="K184" s="240">
        <f t="shared" si="67"/>
        <v>-3.8500000000567525E-3</v>
      </c>
      <c r="L184" s="240">
        <f t="shared" si="68"/>
        <v>99.999372953956893</v>
      </c>
      <c r="M184" s="240">
        <f t="shared" si="69"/>
        <v>0</v>
      </c>
      <c r="N184" s="240">
        <f t="shared" si="70"/>
        <v>100</v>
      </c>
      <c r="O184" s="240">
        <v>0</v>
      </c>
      <c r="P184" s="240">
        <f t="shared" si="72"/>
        <v>99.999372953956893</v>
      </c>
      <c r="Q184" s="240">
        <f t="shared" si="73"/>
        <v>613.99</v>
      </c>
      <c r="R184" s="240">
        <v>100</v>
      </c>
    </row>
    <row r="185" spans="1:18" ht="12.75" customHeight="1" x14ac:dyDescent="0.2">
      <c r="A185" s="234"/>
      <c r="B185" s="292" t="s">
        <v>262</v>
      </c>
      <c r="C185" s="292" t="s">
        <v>237</v>
      </c>
      <c r="D185" s="238" t="s">
        <v>525</v>
      </c>
      <c r="E185" s="238">
        <v>244</v>
      </c>
      <c r="F185" s="239">
        <v>222</v>
      </c>
      <c r="G185" s="240"/>
      <c r="H185" s="240"/>
      <c r="I185" s="240">
        <v>7.5</v>
      </c>
      <c r="J185" s="240">
        <v>7.5</v>
      </c>
      <c r="K185" s="240"/>
      <c r="L185" s="240"/>
      <c r="M185" s="240">
        <f t="shared" si="69"/>
        <v>0</v>
      </c>
      <c r="N185" s="240"/>
      <c r="O185" s="240"/>
      <c r="P185" s="240"/>
      <c r="Q185" s="240"/>
      <c r="R185" s="240"/>
    </row>
    <row r="186" spans="1:18" ht="12.75" customHeight="1" x14ac:dyDescent="0.2">
      <c r="A186" s="234"/>
      <c r="B186" s="292" t="s">
        <v>262</v>
      </c>
      <c r="C186" s="292" t="s">
        <v>237</v>
      </c>
      <c r="D186" s="238" t="s">
        <v>525</v>
      </c>
      <c r="E186" s="238">
        <v>244</v>
      </c>
      <c r="F186" s="239">
        <v>225</v>
      </c>
      <c r="G186" s="240"/>
      <c r="H186" s="240"/>
      <c r="I186" s="240">
        <v>51.810969999999998</v>
      </c>
      <c r="J186" s="240">
        <v>51.810969999999998</v>
      </c>
      <c r="K186" s="240"/>
      <c r="L186" s="240"/>
      <c r="M186" s="240">
        <f t="shared" si="69"/>
        <v>0</v>
      </c>
      <c r="N186" s="240"/>
      <c r="O186" s="240"/>
      <c r="P186" s="240"/>
      <c r="Q186" s="240"/>
      <c r="R186" s="240"/>
    </row>
    <row r="187" spans="1:18" ht="12.75" customHeight="1" x14ac:dyDescent="0.2">
      <c r="A187" s="234"/>
      <c r="B187" s="292" t="s">
        <v>262</v>
      </c>
      <c r="C187" s="292" t="s">
        <v>237</v>
      </c>
      <c r="D187" s="238" t="s">
        <v>525</v>
      </c>
      <c r="E187" s="238">
        <v>244</v>
      </c>
      <c r="F187" s="239">
        <v>226</v>
      </c>
      <c r="G187" s="240"/>
      <c r="H187" s="240"/>
      <c r="I187" s="240">
        <v>310.92518000000001</v>
      </c>
      <c r="J187" s="240">
        <v>310.92518000000001</v>
      </c>
      <c r="K187" s="240"/>
      <c r="L187" s="240"/>
      <c r="M187" s="240">
        <f t="shared" si="69"/>
        <v>0</v>
      </c>
      <c r="N187" s="240"/>
      <c r="O187" s="240"/>
      <c r="P187" s="240"/>
      <c r="Q187" s="240"/>
      <c r="R187" s="240"/>
    </row>
    <row r="188" spans="1:18" ht="12.75" customHeight="1" x14ac:dyDescent="0.2">
      <c r="A188" s="234"/>
      <c r="B188" s="292" t="s">
        <v>262</v>
      </c>
      <c r="C188" s="292" t="s">
        <v>237</v>
      </c>
      <c r="D188" s="238" t="s">
        <v>525</v>
      </c>
      <c r="E188" s="238">
        <v>244</v>
      </c>
      <c r="F188" s="239">
        <v>340</v>
      </c>
      <c r="G188" s="240"/>
      <c r="H188" s="240"/>
      <c r="I188" s="240">
        <v>243.75</v>
      </c>
      <c r="J188" s="240">
        <v>243.75</v>
      </c>
      <c r="K188" s="240"/>
      <c r="L188" s="240"/>
      <c r="M188" s="240">
        <f t="shared" si="69"/>
        <v>0</v>
      </c>
      <c r="N188" s="240"/>
      <c r="O188" s="240"/>
      <c r="P188" s="240"/>
      <c r="Q188" s="240"/>
      <c r="R188" s="240"/>
    </row>
    <row r="189" spans="1:18" x14ac:dyDescent="0.2">
      <c r="A189" s="249" t="s">
        <v>263</v>
      </c>
      <c r="B189" s="250">
        <v>5</v>
      </c>
      <c r="C189" s="251">
        <v>3</v>
      </c>
      <c r="D189" s="252"/>
      <c r="E189" s="252"/>
      <c r="F189" s="253"/>
      <c r="G189" s="254">
        <f>G190+G205</f>
        <v>1458</v>
      </c>
      <c r="H189" s="254">
        <f>H190+H205</f>
        <v>4976.07</v>
      </c>
      <c r="I189" s="254">
        <f t="shared" ref="I189:J189" si="76">I190+I205</f>
        <v>4976.0935799999997</v>
      </c>
      <c r="J189" s="254">
        <f t="shared" si="76"/>
        <v>4976.0935799999997</v>
      </c>
      <c r="K189" s="254">
        <f t="shared" si="67"/>
        <v>2.3580000000038126E-2</v>
      </c>
      <c r="L189" s="254">
        <f t="shared" si="68"/>
        <v>100.00047386793192</v>
      </c>
      <c r="M189" s="254">
        <f t="shared" si="69"/>
        <v>0</v>
      </c>
      <c r="N189" s="254">
        <f t="shared" si="70"/>
        <v>100</v>
      </c>
      <c r="O189" s="254">
        <f t="shared" si="71"/>
        <v>341.29585596707818</v>
      </c>
      <c r="P189" s="254">
        <f t="shared" si="72"/>
        <v>100.00047386793192</v>
      </c>
      <c r="Q189" s="254">
        <f t="shared" si="73"/>
        <v>3518.0699999999997</v>
      </c>
      <c r="R189" s="254">
        <f t="shared" si="74"/>
        <v>341.29423868312756</v>
      </c>
    </row>
    <row r="190" spans="1:18" ht="42.75" customHeight="1" x14ac:dyDescent="0.2">
      <c r="A190" s="286" t="s">
        <v>538</v>
      </c>
      <c r="B190" s="235">
        <v>5</v>
      </c>
      <c r="C190" s="236">
        <v>3</v>
      </c>
      <c r="D190" s="238" t="s">
        <v>527</v>
      </c>
      <c r="E190" s="238"/>
      <c r="F190" s="239"/>
      <c r="G190" s="240">
        <f>G191</f>
        <v>0</v>
      </c>
      <c r="H190" s="240">
        <f>H191</f>
        <v>3308.9999999999995</v>
      </c>
      <c r="I190" s="240">
        <f t="shared" ref="I190:J191" si="77">I191</f>
        <v>3309.02</v>
      </c>
      <c r="J190" s="240">
        <f t="shared" si="77"/>
        <v>3309.02</v>
      </c>
      <c r="K190" s="240">
        <f t="shared" si="67"/>
        <v>2.0000000000436557E-2</v>
      </c>
      <c r="L190" s="240">
        <f t="shared" si="68"/>
        <v>100.00060441220914</v>
      </c>
      <c r="M190" s="240">
        <f t="shared" si="69"/>
        <v>0</v>
      </c>
      <c r="N190" s="240">
        <f t="shared" si="70"/>
        <v>100</v>
      </c>
      <c r="O190" s="240">
        <v>0</v>
      </c>
      <c r="P190" s="240">
        <f t="shared" si="72"/>
        <v>100.00060441220914</v>
      </c>
      <c r="Q190" s="240">
        <f t="shared" si="73"/>
        <v>3308.9999999999995</v>
      </c>
      <c r="R190" s="240">
        <v>100</v>
      </c>
    </row>
    <row r="191" spans="1:18" ht="22.5" x14ac:dyDescent="0.2">
      <c r="A191" s="273" t="s">
        <v>539</v>
      </c>
      <c r="B191" s="235">
        <v>5</v>
      </c>
      <c r="C191" s="236">
        <v>3</v>
      </c>
      <c r="D191" s="238" t="s">
        <v>540</v>
      </c>
      <c r="E191" s="238"/>
      <c r="F191" s="239"/>
      <c r="G191" s="240">
        <f>G192</f>
        <v>0</v>
      </c>
      <c r="H191" s="240">
        <f>H192</f>
        <v>3308.9999999999995</v>
      </c>
      <c r="I191" s="240">
        <f t="shared" si="77"/>
        <v>3309.02</v>
      </c>
      <c r="J191" s="240">
        <f t="shared" si="77"/>
        <v>3309.02</v>
      </c>
      <c r="K191" s="240">
        <f t="shared" si="67"/>
        <v>2.0000000000436557E-2</v>
      </c>
      <c r="L191" s="240">
        <f t="shared" si="68"/>
        <v>100.00060441220914</v>
      </c>
      <c r="M191" s="240">
        <f t="shared" si="69"/>
        <v>0</v>
      </c>
      <c r="N191" s="240">
        <f t="shared" si="70"/>
        <v>100</v>
      </c>
      <c r="O191" s="240">
        <v>0</v>
      </c>
      <c r="P191" s="240">
        <f t="shared" si="72"/>
        <v>100.00060441220914</v>
      </c>
      <c r="Q191" s="240">
        <f t="shared" si="73"/>
        <v>3308.9999999999995</v>
      </c>
      <c r="R191" s="240">
        <v>100</v>
      </c>
    </row>
    <row r="192" spans="1:18" ht="34.5" customHeight="1" x14ac:dyDescent="0.2">
      <c r="A192" s="241" t="s">
        <v>541</v>
      </c>
      <c r="B192" s="242">
        <v>5</v>
      </c>
      <c r="C192" s="243">
        <v>3</v>
      </c>
      <c r="D192" s="245" t="s">
        <v>542</v>
      </c>
      <c r="E192" s="245"/>
      <c r="F192" s="246"/>
      <c r="G192" s="247">
        <f>G193+G196+G199+G202</f>
        <v>0</v>
      </c>
      <c r="H192" s="247">
        <f>H193+H196+H199+H202</f>
        <v>3308.9999999999995</v>
      </c>
      <c r="I192" s="247">
        <f t="shared" ref="I192:J192" si="78">I193+I196+I199+I202</f>
        <v>3309.02</v>
      </c>
      <c r="J192" s="247">
        <f t="shared" si="78"/>
        <v>3309.02</v>
      </c>
      <c r="K192" s="247">
        <f t="shared" si="67"/>
        <v>2.0000000000436557E-2</v>
      </c>
      <c r="L192" s="247">
        <f t="shared" si="68"/>
        <v>100.00060441220914</v>
      </c>
      <c r="M192" s="247">
        <f t="shared" si="69"/>
        <v>0</v>
      </c>
      <c r="N192" s="247">
        <f t="shared" si="70"/>
        <v>100</v>
      </c>
      <c r="O192" s="247">
        <v>0</v>
      </c>
      <c r="P192" s="247">
        <f t="shared" si="72"/>
        <v>100.00060441220914</v>
      </c>
      <c r="Q192" s="247">
        <f t="shared" si="73"/>
        <v>3308.9999999999995</v>
      </c>
      <c r="R192" s="247">
        <v>100</v>
      </c>
    </row>
    <row r="193" spans="1:18" ht="21.75" customHeight="1" x14ac:dyDescent="0.2">
      <c r="A193" s="234" t="s">
        <v>543</v>
      </c>
      <c r="B193" s="235">
        <v>5</v>
      </c>
      <c r="C193" s="236">
        <v>3</v>
      </c>
      <c r="D193" s="238" t="s">
        <v>544</v>
      </c>
      <c r="E193" s="238"/>
      <c r="F193" s="239"/>
      <c r="G193" s="240">
        <f>G194</f>
        <v>0</v>
      </c>
      <c r="H193" s="240">
        <f>H194</f>
        <v>2000</v>
      </c>
      <c r="I193" s="240">
        <f t="shared" ref="I193:J194" si="79">I194</f>
        <v>2000</v>
      </c>
      <c r="J193" s="240">
        <f>J194</f>
        <v>2000</v>
      </c>
      <c r="K193" s="240">
        <f t="shared" si="67"/>
        <v>0</v>
      </c>
      <c r="L193" s="240">
        <f t="shared" si="68"/>
        <v>100</v>
      </c>
      <c r="M193" s="240">
        <f t="shared" si="69"/>
        <v>0</v>
      </c>
      <c r="N193" s="240">
        <f t="shared" si="70"/>
        <v>100</v>
      </c>
      <c r="O193" s="240">
        <v>0</v>
      </c>
      <c r="P193" s="240">
        <f t="shared" si="72"/>
        <v>100</v>
      </c>
      <c r="Q193" s="240">
        <f t="shared" si="73"/>
        <v>2000</v>
      </c>
      <c r="R193" s="240">
        <v>100</v>
      </c>
    </row>
    <row r="194" spans="1:18" ht="22.5" x14ac:dyDescent="0.2">
      <c r="A194" s="234" t="s">
        <v>442</v>
      </c>
      <c r="B194" s="235">
        <v>5</v>
      </c>
      <c r="C194" s="236">
        <v>3</v>
      </c>
      <c r="D194" s="238" t="s">
        <v>544</v>
      </c>
      <c r="E194" s="238">
        <v>200</v>
      </c>
      <c r="F194" s="239"/>
      <c r="G194" s="240">
        <f>G195</f>
        <v>0</v>
      </c>
      <c r="H194" s="240">
        <f>H195</f>
        <v>2000</v>
      </c>
      <c r="I194" s="240">
        <f t="shared" si="79"/>
        <v>2000</v>
      </c>
      <c r="J194" s="240">
        <f t="shared" si="79"/>
        <v>2000</v>
      </c>
      <c r="K194" s="240">
        <f t="shared" si="67"/>
        <v>0</v>
      </c>
      <c r="L194" s="240">
        <f t="shared" si="68"/>
        <v>100</v>
      </c>
      <c r="M194" s="240">
        <f t="shared" si="69"/>
        <v>0</v>
      </c>
      <c r="N194" s="240">
        <f t="shared" si="70"/>
        <v>100</v>
      </c>
      <c r="O194" s="240">
        <v>0</v>
      </c>
      <c r="P194" s="240">
        <f t="shared" si="72"/>
        <v>100</v>
      </c>
      <c r="Q194" s="240">
        <f t="shared" si="73"/>
        <v>2000</v>
      </c>
      <c r="R194" s="240">
        <v>100</v>
      </c>
    </row>
    <row r="195" spans="1:18" ht="33.75" x14ac:dyDescent="0.2">
      <c r="A195" s="234" t="s">
        <v>443</v>
      </c>
      <c r="B195" s="235">
        <v>5</v>
      </c>
      <c r="C195" s="236">
        <v>3</v>
      </c>
      <c r="D195" s="238" t="s">
        <v>544</v>
      </c>
      <c r="E195" s="238">
        <v>243</v>
      </c>
      <c r="F195" s="239">
        <v>225</v>
      </c>
      <c r="G195" s="240"/>
      <c r="H195" s="240">
        <v>2000</v>
      </c>
      <c r="I195" s="240">
        <v>2000</v>
      </c>
      <c r="J195" s="240">
        <v>2000</v>
      </c>
      <c r="K195" s="240">
        <f t="shared" si="67"/>
        <v>0</v>
      </c>
      <c r="L195" s="240">
        <f t="shared" si="68"/>
        <v>100</v>
      </c>
      <c r="M195" s="240">
        <f t="shared" si="69"/>
        <v>0</v>
      </c>
      <c r="N195" s="240">
        <f t="shared" si="70"/>
        <v>100</v>
      </c>
      <c r="O195" s="240">
        <v>0</v>
      </c>
      <c r="P195" s="240">
        <f t="shared" si="72"/>
        <v>100</v>
      </c>
      <c r="Q195" s="240">
        <f t="shared" si="73"/>
        <v>2000</v>
      </c>
      <c r="R195" s="240">
        <v>100</v>
      </c>
    </row>
    <row r="196" spans="1:18" ht="33.75" x14ac:dyDescent="0.2">
      <c r="A196" s="234" t="s">
        <v>545</v>
      </c>
      <c r="B196" s="235">
        <v>5</v>
      </c>
      <c r="C196" s="236">
        <v>3</v>
      </c>
      <c r="D196" s="238" t="s">
        <v>546</v>
      </c>
      <c r="E196" s="238"/>
      <c r="F196" s="239"/>
      <c r="G196" s="240">
        <f>G197</f>
        <v>0</v>
      </c>
      <c r="H196" s="240">
        <f>H197</f>
        <v>249.12</v>
      </c>
      <c r="I196" s="240">
        <f t="shared" ref="I196:J197" si="80">I197</f>
        <v>249.12</v>
      </c>
      <c r="J196" s="240">
        <f t="shared" si="80"/>
        <v>249.12</v>
      </c>
      <c r="K196" s="240">
        <f t="shared" si="67"/>
        <v>0</v>
      </c>
      <c r="L196" s="240">
        <f t="shared" si="68"/>
        <v>100</v>
      </c>
      <c r="M196" s="240">
        <f t="shared" si="69"/>
        <v>0</v>
      </c>
      <c r="N196" s="240">
        <f t="shared" si="70"/>
        <v>100</v>
      </c>
      <c r="O196" s="240">
        <v>0</v>
      </c>
      <c r="P196" s="240">
        <f t="shared" si="72"/>
        <v>100</v>
      </c>
      <c r="Q196" s="240">
        <f t="shared" si="73"/>
        <v>249.12</v>
      </c>
      <c r="R196" s="240">
        <v>100</v>
      </c>
    </row>
    <row r="197" spans="1:18" ht="21.75" customHeight="1" x14ac:dyDescent="0.2">
      <c r="A197" s="234" t="s">
        <v>442</v>
      </c>
      <c r="B197" s="235">
        <v>5</v>
      </c>
      <c r="C197" s="236">
        <v>3</v>
      </c>
      <c r="D197" s="238" t="s">
        <v>546</v>
      </c>
      <c r="E197" s="238">
        <v>200</v>
      </c>
      <c r="F197" s="239"/>
      <c r="G197" s="240">
        <f>G198</f>
        <v>0</v>
      </c>
      <c r="H197" s="240">
        <f>H198</f>
        <v>249.12</v>
      </c>
      <c r="I197" s="240">
        <f t="shared" si="80"/>
        <v>249.12</v>
      </c>
      <c r="J197" s="240">
        <f t="shared" si="80"/>
        <v>249.12</v>
      </c>
      <c r="K197" s="240">
        <f t="shared" si="67"/>
        <v>0</v>
      </c>
      <c r="L197" s="240">
        <f t="shared" si="68"/>
        <v>100</v>
      </c>
      <c r="M197" s="240">
        <f t="shared" si="69"/>
        <v>0</v>
      </c>
      <c r="N197" s="240">
        <f t="shared" si="70"/>
        <v>100</v>
      </c>
      <c r="O197" s="240">
        <v>0</v>
      </c>
      <c r="P197" s="240">
        <f t="shared" si="72"/>
        <v>100</v>
      </c>
      <c r="Q197" s="240">
        <f t="shared" si="73"/>
        <v>249.12</v>
      </c>
      <c r="R197" s="240">
        <v>100</v>
      </c>
    </row>
    <row r="198" spans="1:18" ht="33.75" x14ac:dyDescent="0.2">
      <c r="A198" s="234" t="s">
        <v>443</v>
      </c>
      <c r="B198" s="235">
        <v>5</v>
      </c>
      <c r="C198" s="236">
        <v>3</v>
      </c>
      <c r="D198" s="238" t="s">
        <v>546</v>
      </c>
      <c r="E198" s="238">
        <v>243</v>
      </c>
      <c r="F198" s="239">
        <v>225</v>
      </c>
      <c r="G198" s="240"/>
      <c r="H198" s="240">
        <v>249.12</v>
      </c>
      <c r="I198" s="240">
        <v>249.12</v>
      </c>
      <c r="J198" s="240">
        <v>249.12</v>
      </c>
      <c r="K198" s="240">
        <f t="shared" si="67"/>
        <v>0</v>
      </c>
      <c r="L198" s="240">
        <f t="shared" si="68"/>
        <v>100</v>
      </c>
      <c r="M198" s="240">
        <f t="shared" si="69"/>
        <v>0</v>
      </c>
      <c r="N198" s="240">
        <f t="shared" si="70"/>
        <v>100</v>
      </c>
      <c r="O198" s="240">
        <v>0</v>
      </c>
      <c r="P198" s="240">
        <f t="shared" si="72"/>
        <v>100</v>
      </c>
      <c r="Q198" s="240">
        <f t="shared" si="73"/>
        <v>249.12</v>
      </c>
      <c r="R198" s="240">
        <v>100</v>
      </c>
    </row>
    <row r="199" spans="1:18" ht="45" x14ac:dyDescent="0.2">
      <c r="A199" s="234" t="s">
        <v>547</v>
      </c>
      <c r="B199" s="235">
        <v>5</v>
      </c>
      <c r="C199" s="236">
        <v>3</v>
      </c>
      <c r="D199" s="238" t="s">
        <v>548</v>
      </c>
      <c r="E199" s="238"/>
      <c r="F199" s="239"/>
      <c r="G199" s="240">
        <f>G200</f>
        <v>0</v>
      </c>
      <c r="H199" s="240">
        <f>H200</f>
        <v>953.89</v>
      </c>
      <c r="I199" s="240">
        <f t="shared" ref="I199:J200" si="81">I200</f>
        <v>953.9</v>
      </c>
      <c r="J199" s="240">
        <f t="shared" si="81"/>
        <v>953.9</v>
      </c>
      <c r="K199" s="240">
        <f t="shared" si="67"/>
        <v>9.9999999999909051E-3</v>
      </c>
      <c r="L199" s="240">
        <f t="shared" si="68"/>
        <v>100.001048338907</v>
      </c>
      <c r="M199" s="240">
        <f t="shared" si="69"/>
        <v>0</v>
      </c>
      <c r="N199" s="240">
        <f t="shared" si="70"/>
        <v>100</v>
      </c>
      <c r="O199" s="240">
        <v>0</v>
      </c>
      <c r="P199" s="240">
        <f t="shared" si="72"/>
        <v>100.001048338907</v>
      </c>
      <c r="Q199" s="240">
        <f t="shared" si="73"/>
        <v>953.89</v>
      </c>
      <c r="R199" s="240">
        <v>100</v>
      </c>
    </row>
    <row r="200" spans="1:18" ht="22.5" x14ac:dyDescent="0.2">
      <c r="A200" s="234" t="s">
        <v>442</v>
      </c>
      <c r="B200" s="235">
        <v>5</v>
      </c>
      <c r="C200" s="236">
        <v>3</v>
      </c>
      <c r="D200" s="238" t="s">
        <v>548</v>
      </c>
      <c r="E200" s="238">
        <v>200</v>
      </c>
      <c r="F200" s="239"/>
      <c r="G200" s="240">
        <f>G201</f>
        <v>0</v>
      </c>
      <c r="H200" s="240">
        <f>H201</f>
        <v>953.89</v>
      </c>
      <c r="I200" s="240">
        <f t="shared" si="81"/>
        <v>953.9</v>
      </c>
      <c r="J200" s="240">
        <f t="shared" si="81"/>
        <v>953.9</v>
      </c>
      <c r="K200" s="240">
        <f t="shared" si="67"/>
        <v>9.9999999999909051E-3</v>
      </c>
      <c r="L200" s="240">
        <f t="shared" si="68"/>
        <v>100.001048338907</v>
      </c>
      <c r="M200" s="240">
        <f t="shared" si="69"/>
        <v>0</v>
      </c>
      <c r="N200" s="240">
        <f t="shared" si="70"/>
        <v>100</v>
      </c>
      <c r="O200" s="240">
        <v>0</v>
      </c>
      <c r="P200" s="240">
        <f t="shared" si="72"/>
        <v>100.001048338907</v>
      </c>
      <c r="Q200" s="240">
        <f t="shared" si="73"/>
        <v>953.89</v>
      </c>
      <c r="R200" s="240">
        <v>100</v>
      </c>
    </row>
    <row r="201" spans="1:18" ht="33.75" x14ac:dyDescent="0.2">
      <c r="A201" s="234" t="s">
        <v>443</v>
      </c>
      <c r="B201" s="235">
        <v>5</v>
      </c>
      <c r="C201" s="236">
        <v>3</v>
      </c>
      <c r="D201" s="238" t="s">
        <v>548</v>
      </c>
      <c r="E201" s="238">
        <v>243</v>
      </c>
      <c r="F201" s="239">
        <v>225</v>
      </c>
      <c r="G201" s="240"/>
      <c r="H201" s="240">
        <v>953.89</v>
      </c>
      <c r="I201" s="240">
        <v>953.9</v>
      </c>
      <c r="J201" s="240">
        <v>953.9</v>
      </c>
      <c r="K201" s="240">
        <f t="shared" si="67"/>
        <v>9.9999999999909051E-3</v>
      </c>
      <c r="L201" s="240">
        <f t="shared" si="68"/>
        <v>100.001048338907</v>
      </c>
      <c r="M201" s="240">
        <f t="shared" si="69"/>
        <v>0</v>
      </c>
      <c r="N201" s="240">
        <f t="shared" si="70"/>
        <v>100</v>
      </c>
      <c r="O201" s="240">
        <v>0</v>
      </c>
      <c r="P201" s="240">
        <f t="shared" si="72"/>
        <v>100.001048338907</v>
      </c>
      <c r="Q201" s="240">
        <f t="shared" si="73"/>
        <v>953.89</v>
      </c>
      <c r="R201" s="240">
        <v>100</v>
      </c>
    </row>
    <row r="202" spans="1:18" ht="49.5" customHeight="1" x14ac:dyDescent="0.2">
      <c r="A202" s="234" t="s">
        <v>549</v>
      </c>
      <c r="B202" s="235">
        <v>5</v>
      </c>
      <c r="C202" s="236">
        <v>3</v>
      </c>
      <c r="D202" s="238" t="s">
        <v>548</v>
      </c>
      <c r="E202" s="238"/>
      <c r="F202" s="239"/>
      <c r="G202" s="240">
        <f>G203</f>
        <v>0</v>
      </c>
      <c r="H202" s="240">
        <f>H203</f>
        <v>105.99</v>
      </c>
      <c r="I202" s="240">
        <f t="shared" ref="I202:J203" si="82">I203</f>
        <v>106</v>
      </c>
      <c r="J202" s="240">
        <f t="shared" si="82"/>
        <v>106</v>
      </c>
      <c r="K202" s="240">
        <f t="shared" si="67"/>
        <v>1.0000000000005116E-2</v>
      </c>
      <c r="L202" s="240">
        <f t="shared" si="68"/>
        <v>100.00943485234457</v>
      </c>
      <c r="M202" s="240">
        <f t="shared" si="69"/>
        <v>0</v>
      </c>
      <c r="N202" s="240">
        <f t="shared" si="70"/>
        <v>100</v>
      </c>
      <c r="O202" s="240">
        <v>0</v>
      </c>
      <c r="P202" s="240">
        <f t="shared" si="72"/>
        <v>100.00943485234457</v>
      </c>
      <c r="Q202" s="240">
        <f t="shared" si="73"/>
        <v>105.99</v>
      </c>
      <c r="R202" s="240">
        <v>100</v>
      </c>
    </row>
    <row r="203" spans="1:18" ht="22.5" x14ac:dyDescent="0.2">
      <c r="A203" s="234" t="s">
        <v>442</v>
      </c>
      <c r="B203" s="235">
        <v>5</v>
      </c>
      <c r="C203" s="236">
        <v>3</v>
      </c>
      <c r="D203" s="238" t="s">
        <v>548</v>
      </c>
      <c r="E203" s="238">
        <v>200</v>
      </c>
      <c r="F203" s="239"/>
      <c r="G203" s="240">
        <f>G204</f>
        <v>0</v>
      </c>
      <c r="H203" s="240">
        <f>H204</f>
        <v>105.99</v>
      </c>
      <c r="I203" s="240">
        <f t="shared" si="82"/>
        <v>106</v>
      </c>
      <c r="J203" s="240">
        <f t="shared" si="82"/>
        <v>106</v>
      </c>
      <c r="K203" s="240">
        <f t="shared" si="67"/>
        <v>1.0000000000005116E-2</v>
      </c>
      <c r="L203" s="240">
        <f t="shared" si="68"/>
        <v>100.00943485234457</v>
      </c>
      <c r="M203" s="240">
        <f t="shared" si="69"/>
        <v>0</v>
      </c>
      <c r="N203" s="240">
        <f t="shared" si="70"/>
        <v>100</v>
      </c>
      <c r="O203" s="240">
        <v>0</v>
      </c>
      <c r="P203" s="240">
        <f t="shared" si="72"/>
        <v>100.00943485234457</v>
      </c>
      <c r="Q203" s="240">
        <f t="shared" si="73"/>
        <v>105.99</v>
      </c>
      <c r="R203" s="240">
        <v>100</v>
      </c>
    </row>
    <row r="204" spans="1:18" ht="33.75" x14ac:dyDescent="0.2">
      <c r="A204" s="234" t="s">
        <v>443</v>
      </c>
      <c r="B204" s="235">
        <v>5</v>
      </c>
      <c r="C204" s="236">
        <v>3</v>
      </c>
      <c r="D204" s="238" t="s">
        <v>548</v>
      </c>
      <c r="E204" s="238">
        <v>243</v>
      </c>
      <c r="F204" s="239">
        <v>225</v>
      </c>
      <c r="G204" s="240"/>
      <c r="H204" s="240">
        <v>105.99</v>
      </c>
      <c r="I204" s="240">
        <v>106</v>
      </c>
      <c r="J204" s="240">
        <v>106</v>
      </c>
      <c r="K204" s="240">
        <f t="shared" si="67"/>
        <v>1.0000000000005116E-2</v>
      </c>
      <c r="L204" s="240">
        <f t="shared" si="68"/>
        <v>100.00943485234457</v>
      </c>
      <c r="M204" s="240">
        <f t="shared" si="69"/>
        <v>0</v>
      </c>
      <c r="N204" s="240">
        <f t="shared" si="70"/>
        <v>100</v>
      </c>
      <c r="O204" s="240">
        <v>0</v>
      </c>
      <c r="P204" s="240">
        <f t="shared" si="72"/>
        <v>100.00943485234457</v>
      </c>
      <c r="Q204" s="240">
        <f t="shared" si="73"/>
        <v>105.99</v>
      </c>
      <c r="R204" s="240">
        <v>100</v>
      </c>
    </row>
    <row r="205" spans="1:18" ht="23.25" customHeight="1" x14ac:dyDescent="0.2">
      <c r="A205" s="241" t="s">
        <v>523</v>
      </c>
      <c r="B205" s="242">
        <v>5</v>
      </c>
      <c r="C205" s="243">
        <v>3</v>
      </c>
      <c r="D205" s="294" t="s">
        <v>524</v>
      </c>
      <c r="E205" s="245"/>
      <c r="F205" s="246"/>
      <c r="G205" s="247">
        <f t="shared" ref="G205:J207" si="83">G206</f>
        <v>1458</v>
      </c>
      <c r="H205" s="247">
        <f t="shared" si="83"/>
        <v>1667.07</v>
      </c>
      <c r="I205" s="247">
        <f t="shared" si="83"/>
        <v>1667.07358</v>
      </c>
      <c r="J205" s="247">
        <f t="shared" si="83"/>
        <v>1667.07358</v>
      </c>
      <c r="K205" s="247">
        <f t="shared" si="67"/>
        <v>3.5800000000563159E-3</v>
      </c>
      <c r="L205" s="247">
        <f t="shared" si="68"/>
        <v>100.00021474803098</v>
      </c>
      <c r="M205" s="247">
        <f t="shared" si="69"/>
        <v>0</v>
      </c>
      <c r="N205" s="247">
        <f t="shared" si="70"/>
        <v>100</v>
      </c>
      <c r="O205" s="247">
        <f t="shared" si="71"/>
        <v>114.33975171467765</v>
      </c>
      <c r="P205" s="247">
        <f t="shared" si="72"/>
        <v>100.00021474803098</v>
      </c>
      <c r="Q205" s="247">
        <f t="shared" si="73"/>
        <v>209.06999999999994</v>
      </c>
      <c r="R205" s="247">
        <f t="shared" si="74"/>
        <v>114.33950617283951</v>
      </c>
    </row>
    <row r="206" spans="1:18" x14ac:dyDescent="0.2">
      <c r="A206" s="234" t="s">
        <v>519</v>
      </c>
      <c r="B206" s="235">
        <v>5</v>
      </c>
      <c r="C206" s="236">
        <v>3</v>
      </c>
      <c r="D206" s="238" t="s">
        <v>525</v>
      </c>
      <c r="E206" s="238"/>
      <c r="F206" s="239"/>
      <c r="G206" s="240">
        <f t="shared" si="83"/>
        <v>1458</v>
      </c>
      <c r="H206" s="240">
        <f t="shared" si="83"/>
        <v>1667.07</v>
      </c>
      <c r="I206" s="240">
        <f t="shared" si="83"/>
        <v>1667.07358</v>
      </c>
      <c r="J206" s="240">
        <f t="shared" si="83"/>
        <v>1667.07358</v>
      </c>
      <c r="K206" s="240">
        <f t="shared" si="67"/>
        <v>3.5800000000563159E-3</v>
      </c>
      <c r="L206" s="240">
        <f t="shared" si="68"/>
        <v>100.00021474803098</v>
      </c>
      <c r="M206" s="240">
        <f t="shared" si="69"/>
        <v>0</v>
      </c>
      <c r="N206" s="240">
        <f t="shared" si="70"/>
        <v>100</v>
      </c>
      <c r="O206" s="240">
        <f t="shared" si="71"/>
        <v>114.33975171467765</v>
      </c>
      <c r="P206" s="240">
        <f t="shared" si="72"/>
        <v>100.00021474803098</v>
      </c>
      <c r="Q206" s="240">
        <f t="shared" si="73"/>
        <v>209.06999999999994</v>
      </c>
      <c r="R206" s="240">
        <f t="shared" si="74"/>
        <v>114.33950617283951</v>
      </c>
    </row>
    <row r="207" spans="1:18" ht="21.75" customHeight="1" x14ac:dyDescent="0.2">
      <c r="A207" s="234" t="s">
        <v>442</v>
      </c>
      <c r="B207" s="235">
        <v>5</v>
      </c>
      <c r="C207" s="236">
        <v>3</v>
      </c>
      <c r="D207" s="238" t="s">
        <v>525</v>
      </c>
      <c r="E207" s="238">
        <v>200</v>
      </c>
      <c r="F207" s="239"/>
      <c r="G207" s="240">
        <f t="shared" si="83"/>
        <v>1458</v>
      </c>
      <c r="H207" s="240">
        <f t="shared" si="83"/>
        <v>1667.07</v>
      </c>
      <c r="I207" s="240">
        <f t="shared" si="83"/>
        <v>1667.07358</v>
      </c>
      <c r="J207" s="240">
        <f t="shared" si="83"/>
        <v>1667.07358</v>
      </c>
      <c r="K207" s="240">
        <f t="shared" si="67"/>
        <v>3.5800000000563159E-3</v>
      </c>
      <c r="L207" s="240">
        <f t="shared" si="68"/>
        <v>100.00021474803098</v>
      </c>
      <c r="M207" s="240">
        <f t="shared" si="69"/>
        <v>0</v>
      </c>
      <c r="N207" s="240">
        <f t="shared" si="70"/>
        <v>100</v>
      </c>
      <c r="O207" s="240">
        <f t="shared" si="71"/>
        <v>114.33975171467765</v>
      </c>
      <c r="P207" s="240">
        <f t="shared" si="72"/>
        <v>100.00021474803098</v>
      </c>
      <c r="Q207" s="240">
        <f t="shared" si="73"/>
        <v>209.06999999999994</v>
      </c>
      <c r="R207" s="240">
        <f t="shared" si="74"/>
        <v>114.33950617283951</v>
      </c>
    </row>
    <row r="208" spans="1:18" ht="33.75" x14ac:dyDescent="0.2">
      <c r="A208" s="234" t="s">
        <v>443</v>
      </c>
      <c r="B208" s="235">
        <v>5</v>
      </c>
      <c r="C208" s="236">
        <v>3</v>
      </c>
      <c r="D208" s="238" t="s">
        <v>525</v>
      </c>
      <c r="E208" s="238">
        <v>240</v>
      </c>
      <c r="F208" s="239"/>
      <c r="G208" s="240">
        <v>1458</v>
      </c>
      <c r="H208" s="240">
        <v>1667.07</v>
      </c>
      <c r="I208" s="240">
        <f>SUM(I209:I214)</f>
        <v>1667.07358</v>
      </c>
      <c r="J208" s="240">
        <f>SUM(J209:J214)</f>
        <v>1667.07358</v>
      </c>
      <c r="K208" s="240">
        <f t="shared" si="67"/>
        <v>3.5800000000563159E-3</v>
      </c>
      <c r="L208" s="240">
        <f t="shared" si="68"/>
        <v>100.00021474803098</v>
      </c>
      <c r="M208" s="240">
        <f t="shared" si="69"/>
        <v>0</v>
      </c>
      <c r="N208" s="240">
        <f t="shared" si="70"/>
        <v>100</v>
      </c>
      <c r="O208" s="240">
        <f t="shared" si="71"/>
        <v>114.33975171467765</v>
      </c>
      <c r="P208" s="240">
        <f t="shared" si="72"/>
        <v>100.00021474803098</v>
      </c>
      <c r="Q208" s="240">
        <f t="shared" si="73"/>
        <v>209.06999999999994</v>
      </c>
      <c r="R208" s="240">
        <f t="shared" si="74"/>
        <v>114.33950617283951</v>
      </c>
    </row>
    <row r="209" spans="1:18" ht="14.25" customHeight="1" x14ac:dyDescent="0.2">
      <c r="A209" s="234"/>
      <c r="B209" s="235">
        <v>5</v>
      </c>
      <c r="C209" s="236">
        <v>3</v>
      </c>
      <c r="D209" s="238" t="s">
        <v>525</v>
      </c>
      <c r="E209" s="238">
        <v>244</v>
      </c>
      <c r="F209" s="239">
        <v>223</v>
      </c>
      <c r="G209" s="240"/>
      <c r="H209" s="240"/>
      <c r="I209" s="240">
        <v>666.36825999999996</v>
      </c>
      <c r="J209" s="240">
        <v>666.36825999999996</v>
      </c>
      <c r="K209" s="240"/>
      <c r="L209" s="240"/>
      <c r="M209" s="240">
        <f t="shared" si="69"/>
        <v>0</v>
      </c>
      <c r="N209" s="240"/>
      <c r="O209" s="240"/>
      <c r="P209" s="240"/>
      <c r="Q209" s="240"/>
      <c r="R209" s="240"/>
    </row>
    <row r="210" spans="1:18" ht="14.25" customHeight="1" x14ac:dyDescent="0.2">
      <c r="A210" s="234"/>
      <c r="B210" s="235">
        <v>5</v>
      </c>
      <c r="C210" s="236">
        <v>3</v>
      </c>
      <c r="D210" s="238" t="s">
        <v>525</v>
      </c>
      <c r="E210" s="238">
        <v>244</v>
      </c>
      <c r="F210" s="239">
        <v>225</v>
      </c>
      <c r="G210" s="240"/>
      <c r="H210" s="240"/>
      <c r="I210" s="240">
        <v>525.00679000000002</v>
      </c>
      <c r="J210" s="240">
        <v>525.00679000000002</v>
      </c>
      <c r="K210" s="240"/>
      <c r="L210" s="240"/>
      <c r="M210" s="240">
        <f t="shared" si="69"/>
        <v>0</v>
      </c>
      <c r="N210" s="240"/>
      <c r="O210" s="240"/>
      <c r="P210" s="240"/>
      <c r="Q210" s="240"/>
      <c r="R210" s="240"/>
    </row>
    <row r="211" spans="1:18" ht="14.25" customHeight="1" x14ac:dyDescent="0.2">
      <c r="A211" s="234"/>
      <c r="B211" s="235">
        <v>5</v>
      </c>
      <c r="C211" s="236">
        <v>3</v>
      </c>
      <c r="D211" s="238" t="s">
        <v>525</v>
      </c>
      <c r="E211" s="238">
        <v>244</v>
      </c>
      <c r="F211" s="239">
        <v>226</v>
      </c>
      <c r="G211" s="240"/>
      <c r="H211" s="240"/>
      <c r="I211" s="240">
        <v>251.43</v>
      </c>
      <c r="J211" s="240">
        <v>251.43</v>
      </c>
      <c r="K211" s="240"/>
      <c r="L211" s="240"/>
      <c r="M211" s="240">
        <f t="shared" si="69"/>
        <v>0</v>
      </c>
      <c r="N211" s="240"/>
      <c r="O211" s="240"/>
      <c r="P211" s="240"/>
      <c r="Q211" s="240"/>
      <c r="R211" s="240"/>
    </row>
    <row r="212" spans="1:18" ht="16.5" customHeight="1" x14ac:dyDescent="0.2">
      <c r="A212" s="234"/>
      <c r="B212" s="235">
        <v>5</v>
      </c>
      <c r="C212" s="236">
        <v>3</v>
      </c>
      <c r="D212" s="238" t="s">
        <v>525</v>
      </c>
      <c r="E212" s="238">
        <v>244</v>
      </c>
      <c r="F212" s="239">
        <v>296</v>
      </c>
      <c r="G212" s="240"/>
      <c r="H212" s="240"/>
      <c r="I212" s="240">
        <v>25</v>
      </c>
      <c r="J212" s="240">
        <v>25</v>
      </c>
      <c r="K212" s="240"/>
      <c r="L212" s="240"/>
      <c r="M212" s="240">
        <f t="shared" si="69"/>
        <v>0</v>
      </c>
      <c r="N212" s="240"/>
      <c r="O212" s="240"/>
      <c r="P212" s="240"/>
      <c r="Q212" s="240"/>
      <c r="R212" s="240"/>
    </row>
    <row r="213" spans="1:18" ht="14.25" customHeight="1" x14ac:dyDescent="0.2">
      <c r="A213" s="234"/>
      <c r="B213" s="235">
        <v>5</v>
      </c>
      <c r="C213" s="236">
        <v>3</v>
      </c>
      <c r="D213" s="238" t="s">
        <v>525</v>
      </c>
      <c r="E213" s="238">
        <v>244</v>
      </c>
      <c r="F213" s="239">
        <v>310</v>
      </c>
      <c r="G213" s="240"/>
      <c r="H213" s="240"/>
      <c r="I213" s="240">
        <v>58.764000000000003</v>
      </c>
      <c r="J213" s="240">
        <v>58.764000000000003</v>
      </c>
      <c r="K213" s="240"/>
      <c r="L213" s="240"/>
      <c r="M213" s="240">
        <f t="shared" si="69"/>
        <v>0</v>
      </c>
      <c r="N213" s="240"/>
      <c r="O213" s="240"/>
      <c r="P213" s="240"/>
      <c r="Q213" s="240"/>
      <c r="R213" s="240"/>
    </row>
    <row r="214" spans="1:18" ht="16.5" customHeight="1" x14ac:dyDescent="0.2">
      <c r="A214" s="234"/>
      <c r="B214" s="235">
        <v>5</v>
      </c>
      <c r="C214" s="236">
        <v>3</v>
      </c>
      <c r="D214" s="238" t="s">
        <v>525</v>
      </c>
      <c r="E214" s="238">
        <v>244</v>
      </c>
      <c r="F214" s="239">
        <v>340</v>
      </c>
      <c r="G214" s="240"/>
      <c r="H214" s="240"/>
      <c r="I214" s="240">
        <v>140.50452999999999</v>
      </c>
      <c r="J214" s="240">
        <v>140.50452999999999</v>
      </c>
      <c r="K214" s="240"/>
      <c r="L214" s="240"/>
      <c r="M214" s="240">
        <f t="shared" si="69"/>
        <v>0</v>
      </c>
      <c r="N214" s="240"/>
      <c r="O214" s="240"/>
      <c r="P214" s="240"/>
      <c r="Q214" s="240"/>
      <c r="R214" s="240"/>
    </row>
    <row r="215" spans="1:18" ht="18" customHeight="1" thickBot="1" x14ac:dyDescent="0.25">
      <c r="A215" s="318" t="s">
        <v>260</v>
      </c>
      <c r="B215" s="319">
        <v>6</v>
      </c>
      <c r="C215" s="319"/>
      <c r="D215" s="320" t="s">
        <v>550</v>
      </c>
      <c r="E215" s="317"/>
      <c r="F215" s="282"/>
      <c r="G215" s="283">
        <f t="shared" ref="G215:J220" si="84">G216</f>
        <v>0</v>
      </c>
      <c r="H215" s="283">
        <f t="shared" si="84"/>
        <v>2.04</v>
      </c>
      <c r="I215" s="283">
        <f t="shared" si="84"/>
        <v>2.04</v>
      </c>
      <c r="J215" s="283">
        <f t="shared" si="84"/>
        <v>2.04</v>
      </c>
      <c r="K215" s="283">
        <f t="shared" si="67"/>
        <v>0</v>
      </c>
      <c r="L215" s="283">
        <f t="shared" si="68"/>
        <v>100</v>
      </c>
      <c r="M215" s="283">
        <f t="shared" si="69"/>
        <v>0</v>
      </c>
      <c r="N215" s="283">
        <f t="shared" si="70"/>
        <v>100</v>
      </c>
      <c r="O215" s="283">
        <v>0</v>
      </c>
      <c r="P215" s="283">
        <f t="shared" si="72"/>
        <v>100</v>
      </c>
      <c r="Q215" s="283">
        <f t="shared" si="73"/>
        <v>2.04</v>
      </c>
      <c r="R215" s="283">
        <v>100</v>
      </c>
    </row>
    <row r="216" spans="1:18" ht="22.5" customHeight="1" x14ac:dyDescent="0.2">
      <c r="A216" s="321" t="s">
        <v>259</v>
      </c>
      <c r="B216" s="322">
        <v>6</v>
      </c>
      <c r="C216" s="322">
        <v>5</v>
      </c>
      <c r="D216" s="323" t="s">
        <v>550</v>
      </c>
      <c r="E216" s="231"/>
      <c r="F216" s="232"/>
      <c r="G216" s="233">
        <f t="shared" si="84"/>
        <v>0</v>
      </c>
      <c r="H216" s="233">
        <f t="shared" si="84"/>
        <v>2.04</v>
      </c>
      <c r="I216" s="233">
        <f t="shared" si="84"/>
        <v>2.04</v>
      </c>
      <c r="J216" s="233">
        <f t="shared" si="84"/>
        <v>2.04</v>
      </c>
      <c r="K216" s="233">
        <f t="shared" si="67"/>
        <v>0</v>
      </c>
      <c r="L216" s="233">
        <f t="shared" si="68"/>
        <v>100</v>
      </c>
      <c r="M216" s="233">
        <f t="shared" si="69"/>
        <v>0</v>
      </c>
      <c r="N216" s="233">
        <f t="shared" si="70"/>
        <v>100</v>
      </c>
      <c r="O216" s="233">
        <v>0</v>
      </c>
      <c r="P216" s="233">
        <f t="shared" si="72"/>
        <v>100</v>
      </c>
      <c r="Q216" s="233">
        <f t="shared" si="73"/>
        <v>2.04</v>
      </c>
      <c r="R216" s="233">
        <v>100</v>
      </c>
    </row>
    <row r="217" spans="1:18" ht="47.25" customHeight="1" x14ac:dyDescent="0.2">
      <c r="A217" s="324" t="s">
        <v>551</v>
      </c>
      <c r="B217" s="325">
        <v>6</v>
      </c>
      <c r="C217" s="325">
        <v>5</v>
      </c>
      <c r="D217" s="326" t="s">
        <v>552</v>
      </c>
      <c r="E217" s="238"/>
      <c r="F217" s="239"/>
      <c r="G217" s="240">
        <f t="shared" si="84"/>
        <v>0</v>
      </c>
      <c r="H217" s="240">
        <f t="shared" si="84"/>
        <v>2.04</v>
      </c>
      <c r="I217" s="240">
        <f t="shared" si="84"/>
        <v>2.04</v>
      </c>
      <c r="J217" s="240">
        <f t="shared" si="84"/>
        <v>2.04</v>
      </c>
      <c r="K217" s="240">
        <f t="shared" si="67"/>
        <v>0</v>
      </c>
      <c r="L217" s="240">
        <f t="shared" si="68"/>
        <v>100</v>
      </c>
      <c r="M217" s="240">
        <f t="shared" si="69"/>
        <v>0</v>
      </c>
      <c r="N217" s="240">
        <f t="shared" si="70"/>
        <v>100</v>
      </c>
      <c r="O217" s="240">
        <v>0</v>
      </c>
      <c r="P217" s="240">
        <f t="shared" si="72"/>
        <v>100</v>
      </c>
      <c r="Q217" s="240">
        <f t="shared" si="73"/>
        <v>2.04</v>
      </c>
      <c r="R217" s="240">
        <v>100</v>
      </c>
    </row>
    <row r="218" spans="1:18" ht="33.75" x14ac:dyDescent="0.2">
      <c r="A218" s="324" t="s">
        <v>553</v>
      </c>
      <c r="B218" s="325">
        <v>6</v>
      </c>
      <c r="C218" s="325">
        <v>5</v>
      </c>
      <c r="D218" s="326" t="s">
        <v>554</v>
      </c>
      <c r="E218" s="238"/>
      <c r="F218" s="239"/>
      <c r="G218" s="240">
        <f t="shared" si="84"/>
        <v>0</v>
      </c>
      <c r="H218" s="240">
        <f t="shared" si="84"/>
        <v>2.04</v>
      </c>
      <c r="I218" s="240">
        <f t="shared" si="84"/>
        <v>2.04</v>
      </c>
      <c r="J218" s="240">
        <f t="shared" si="84"/>
        <v>2.04</v>
      </c>
      <c r="K218" s="240">
        <f t="shared" si="67"/>
        <v>0</v>
      </c>
      <c r="L218" s="240">
        <f t="shared" si="68"/>
        <v>100</v>
      </c>
      <c r="M218" s="240">
        <f t="shared" si="69"/>
        <v>0</v>
      </c>
      <c r="N218" s="240">
        <f t="shared" si="70"/>
        <v>100</v>
      </c>
      <c r="O218" s="240">
        <v>0</v>
      </c>
      <c r="P218" s="240">
        <f t="shared" si="72"/>
        <v>100</v>
      </c>
      <c r="Q218" s="240">
        <f t="shared" si="73"/>
        <v>2.04</v>
      </c>
      <c r="R218" s="240">
        <v>100</v>
      </c>
    </row>
    <row r="219" spans="1:18" ht="46.5" customHeight="1" x14ac:dyDescent="0.2">
      <c r="A219" s="324" t="s">
        <v>555</v>
      </c>
      <c r="B219" s="325">
        <v>6</v>
      </c>
      <c r="C219" s="325">
        <v>5</v>
      </c>
      <c r="D219" s="326" t="s">
        <v>556</v>
      </c>
      <c r="E219" s="238"/>
      <c r="F219" s="239"/>
      <c r="G219" s="240">
        <f t="shared" si="84"/>
        <v>0</v>
      </c>
      <c r="H219" s="240">
        <f t="shared" si="84"/>
        <v>2.04</v>
      </c>
      <c r="I219" s="240">
        <f t="shared" si="84"/>
        <v>2.04</v>
      </c>
      <c r="J219" s="240">
        <f t="shared" si="84"/>
        <v>2.04</v>
      </c>
      <c r="K219" s="240">
        <f t="shared" si="67"/>
        <v>0</v>
      </c>
      <c r="L219" s="240">
        <f t="shared" si="68"/>
        <v>100</v>
      </c>
      <c r="M219" s="240">
        <f t="shared" si="69"/>
        <v>0</v>
      </c>
      <c r="N219" s="240">
        <f t="shared" si="70"/>
        <v>100</v>
      </c>
      <c r="O219" s="240">
        <v>0</v>
      </c>
      <c r="P219" s="240">
        <f t="shared" si="72"/>
        <v>100</v>
      </c>
      <c r="Q219" s="240">
        <f t="shared" si="73"/>
        <v>2.04</v>
      </c>
      <c r="R219" s="240">
        <v>100</v>
      </c>
    </row>
    <row r="220" spans="1:18" ht="43.5" customHeight="1" x14ac:dyDescent="0.2">
      <c r="A220" s="248" t="s">
        <v>434</v>
      </c>
      <c r="B220" s="325">
        <v>6</v>
      </c>
      <c r="C220" s="325">
        <v>5</v>
      </c>
      <c r="D220" s="326" t="s">
        <v>556</v>
      </c>
      <c r="E220" s="238">
        <v>100</v>
      </c>
      <c r="F220" s="239"/>
      <c r="G220" s="240">
        <f t="shared" si="84"/>
        <v>0</v>
      </c>
      <c r="H220" s="240">
        <f t="shared" si="84"/>
        <v>2.04</v>
      </c>
      <c r="I220" s="240">
        <f t="shared" si="84"/>
        <v>2.04</v>
      </c>
      <c r="J220" s="240">
        <f t="shared" si="84"/>
        <v>2.04</v>
      </c>
      <c r="K220" s="240">
        <f t="shared" si="67"/>
        <v>0</v>
      </c>
      <c r="L220" s="240">
        <f t="shared" si="68"/>
        <v>100</v>
      </c>
      <c r="M220" s="240">
        <f t="shared" si="69"/>
        <v>0</v>
      </c>
      <c r="N220" s="240">
        <f t="shared" si="70"/>
        <v>100</v>
      </c>
      <c r="O220" s="240">
        <v>0</v>
      </c>
      <c r="P220" s="240">
        <f t="shared" si="72"/>
        <v>100</v>
      </c>
      <c r="Q220" s="240">
        <f t="shared" si="73"/>
        <v>2.04</v>
      </c>
      <c r="R220" s="240">
        <v>100</v>
      </c>
    </row>
    <row r="221" spans="1:18" ht="28.5" customHeight="1" x14ac:dyDescent="0.2">
      <c r="A221" s="234" t="s">
        <v>435</v>
      </c>
      <c r="B221" s="325">
        <v>6</v>
      </c>
      <c r="C221" s="325">
        <v>5</v>
      </c>
      <c r="D221" s="326" t="s">
        <v>556</v>
      </c>
      <c r="E221" s="238">
        <v>120</v>
      </c>
      <c r="F221" s="239"/>
      <c r="G221" s="240"/>
      <c r="H221" s="240">
        <v>2.04</v>
      </c>
      <c r="I221" s="240">
        <f>I222+I223</f>
        <v>2.04</v>
      </c>
      <c r="J221" s="240">
        <f>J222+J223</f>
        <v>2.04</v>
      </c>
      <c r="K221" s="240">
        <f t="shared" si="67"/>
        <v>0</v>
      </c>
      <c r="L221" s="240">
        <f t="shared" si="68"/>
        <v>100</v>
      </c>
      <c r="M221" s="240">
        <f t="shared" si="69"/>
        <v>0</v>
      </c>
      <c r="N221" s="240">
        <f t="shared" si="70"/>
        <v>100</v>
      </c>
      <c r="O221" s="240">
        <v>0</v>
      </c>
      <c r="P221" s="240">
        <f t="shared" si="72"/>
        <v>100</v>
      </c>
      <c r="Q221" s="240">
        <f t="shared" si="73"/>
        <v>2.04</v>
      </c>
      <c r="R221" s="240">
        <v>100</v>
      </c>
    </row>
    <row r="222" spans="1:18" ht="18" customHeight="1" x14ac:dyDescent="0.2">
      <c r="A222" s="234"/>
      <c r="B222" s="325">
        <v>6</v>
      </c>
      <c r="C222" s="325">
        <v>5</v>
      </c>
      <c r="D222" s="326" t="s">
        <v>556</v>
      </c>
      <c r="E222" s="238">
        <v>121</v>
      </c>
      <c r="F222" s="239">
        <v>211</v>
      </c>
      <c r="G222" s="240"/>
      <c r="H222" s="240"/>
      <c r="I222" s="240">
        <v>1.6025100000000001</v>
      </c>
      <c r="J222" s="240">
        <v>1.6025100000000001</v>
      </c>
      <c r="K222" s="240"/>
      <c r="L222" s="240"/>
      <c r="M222" s="240">
        <f t="shared" si="69"/>
        <v>0</v>
      </c>
      <c r="N222" s="240"/>
      <c r="O222" s="240"/>
      <c r="P222" s="240"/>
      <c r="Q222" s="240"/>
      <c r="R222" s="240"/>
    </row>
    <row r="223" spans="1:18" ht="14.25" customHeight="1" x14ac:dyDescent="0.2">
      <c r="A223" s="234"/>
      <c r="B223" s="325">
        <v>6</v>
      </c>
      <c r="C223" s="325">
        <v>5</v>
      </c>
      <c r="D223" s="326" t="s">
        <v>556</v>
      </c>
      <c r="E223" s="238">
        <v>129</v>
      </c>
      <c r="F223" s="239">
        <v>213</v>
      </c>
      <c r="G223" s="240"/>
      <c r="H223" s="240"/>
      <c r="I223" s="240">
        <v>0.43748999999999999</v>
      </c>
      <c r="J223" s="240">
        <v>0.43748999999999999</v>
      </c>
      <c r="K223" s="240"/>
      <c r="L223" s="240"/>
      <c r="M223" s="240">
        <f t="shared" si="69"/>
        <v>0</v>
      </c>
      <c r="N223" s="240"/>
      <c r="O223" s="240"/>
      <c r="P223" s="240"/>
      <c r="Q223" s="240"/>
      <c r="R223" s="240"/>
    </row>
    <row r="224" spans="1:18" ht="13.5" thickBot="1" x14ac:dyDescent="0.25">
      <c r="A224" s="314" t="s">
        <v>557</v>
      </c>
      <c r="B224" s="315">
        <v>8</v>
      </c>
      <c r="C224" s="316"/>
      <c r="D224" s="327"/>
      <c r="E224" s="317"/>
      <c r="F224" s="282"/>
      <c r="G224" s="283">
        <f>G225</f>
        <v>7589</v>
      </c>
      <c r="H224" s="283">
        <f>H225</f>
        <v>8272.15</v>
      </c>
      <c r="I224" s="283">
        <f t="shared" ref="I224:J224" si="85">I225</f>
        <v>8272.1456800000014</v>
      </c>
      <c r="J224" s="283">
        <f t="shared" si="85"/>
        <v>8272.1490300000005</v>
      </c>
      <c r="K224" s="283">
        <f t="shared" si="67"/>
        <v>-4.3199999981879955E-3</v>
      </c>
      <c r="L224" s="283">
        <f t="shared" si="68"/>
        <v>99.999947776575638</v>
      </c>
      <c r="M224" s="283">
        <f t="shared" si="69"/>
        <v>-3.3499999990453944E-3</v>
      </c>
      <c r="N224" s="283">
        <f t="shared" si="70"/>
        <v>100.00004049735254</v>
      </c>
      <c r="O224" s="283">
        <f t="shared" si="71"/>
        <v>109.00183199367505</v>
      </c>
      <c r="P224" s="283">
        <f t="shared" si="72"/>
        <v>99.999988273907036</v>
      </c>
      <c r="Q224" s="283">
        <f t="shared" si="73"/>
        <v>683.14999999999964</v>
      </c>
      <c r="R224" s="283">
        <f t="shared" si="74"/>
        <v>109.00184477533273</v>
      </c>
    </row>
    <row r="225" spans="1:18" x14ac:dyDescent="0.2">
      <c r="A225" s="227" t="s">
        <v>558</v>
      </c>
      <c r="B225" s="228">
        <v>8</v>
      </c>
      <c r="C225" s="229">
        <v>1</v>
      </c>
      <c r="D225" s="230"/>
      <c r="E225" s="231"/>
      <c r="F225" s="232"/>
      <c r="G225" s="233">
        <f>G226+G243+G235</f>
        <v>7589</v>
      </c>
      <c r="H225" s="233">
        <f>H226+H243+H235</f>
        <v>8272.15</v>
      </c>
      <c r="I225" s="233">
        <f t="shared" ref="I225:J225" si="86">I226+I243+I235</f>
        <v>8272.1456800000014</v>
      </c>
      <c r="J225" s="233">
        <f t="shared" si="86"/>
        <v>8272.1490300000005</v>
      </c>
      <c r="K225" s="233">
        <f t="shared" si="67"/>
        <v>-4.3199999981879955E-3</v>
      </c>
      <c r="L225" s="233">
        <f t="shared" si="68"/>
        <v>99.999947776575638</v>
      </c>
      <c r="M225" s="233">
        <f t="shared" si="69"/>
        <v>-3.3499999990453944E-3</v>
      </c>
      <c r="N225" s="233">
        <f t="shared" si="70"/>
        <v>100.00004049735254</v>
      </c>
      <c r="O225" s="233">
        <f t="shared" si="71"/>
        <v>109.00183199367505</v>
      </c>
      <c r="P225" s="233">
        <f t="shared" si="72"/>
        <v>99.999988273907036</v>
      </c>
      <c r="Q225" s="233">
        <f t="shared" si="73"/>
        <v>683.14999999999964</v>
      </c>
      <c r="R225" s="233">
        <f t="shared" si="74"/>
        <v>109.00184477533273</v>
      </c>
    </row>
    <row r="226" spans="1:18" ht="35.25" customHeight="1" x14ac:dyDescent="0.2">
      <c r="A226" s="328" t="s">
        <v>559</v>
      </c>
      <c r="B226" s="242">
        <v>8</v>
      </c>
      <c r="C226" s="243">
        <v>1</v>
      </c>
      <c r="D226" s="329" t="s">
        <v>560</v>
      </c>
      <c r="E226" s="245"/>
      <c r="F226" s="246"/>
      <c r="G226" s="247">
        <f>G227</f>
        <v>14</v>
      </c>
      <c r="H226" s="247">
        <f>H227</f>
        <v>14</v>
      </c>
      <c r="I226" s="247">
        <f t="shared" ref="I226:J227" si="87">I227</f>
        <v>14</v>
      </c>
      <c r="J226" s="247">
        <f t="shared" si="87"/>
        <v>14</v>
      </c>
      <c r="K226" s="247">
        <f t="shared" si="67"/>
        <v>0</v>
      </c>
      <c r="L226" s="247">
        <f t="shared" si="68"/>
        <v>100</v>
      </c>
      <c r="M226" s="247">
        <f t="shared" si="69"/>
        <v>0</v>
      </c>
      <c r="N226" s="247">
        <f t="shared" si="70"/>
        <v>100</v>
      </c>
      <c r="O226" s="247">
        <f t="shared" si="71"/>
        <v>100</v>
      </c>
      <c r="P226" s="247">
        <f t="shared" si="72"/>
        <v>100</v>
      </c>
      <c r="Q226" s="247">
        <f t="shared" si="73"/>
        <v>0</v>
      </c>
      <c r="R226" s="247">
        <f t="shared" si="74"/>
        <v>100</v>
      </c>
    </row>
    <row r="227" spans="1:18" ht="42" x14ac:dyDescent="0.2">
      <c r="A227" s="330" t="s">
        <v>561</v>
      </c>
      <c r="B227" s="235">
        <v>8</v>
      </c>
      <c r="C227" s="236">
        <v>1</v>
      </c>
      <c r="D227" s="331" t="s">
        <v>562</v>
      </c>
      <c r="E227" s="238"/>
      <c r="F227" s="239"/>
      <c r="G227" s="240">
        <f>G228</f>
        <v>14</v>
      </c>
      <c r="H227" s="240">
        <f>H228</f>
        <v>14</v>
      </c>
      <c r="I227" s="240">
        <f t="shared" si="87"/>
        <v>14</v>
      </c>
      <c r="J227" s="240">
        <f t="shared" si="87"/>
        <v>14</v>
      </c>
      <c r="K227" s="240">
        <f t="shared" si="67"/>
        <v>0</v>
      </c>
      <c r="L227" s="240">
        <f t="shared" si="68"/>
        <v>100</v>
      </c>
      <c r="M227" s="240">
        <f t="shared" si="69"/>
        <v>0</v>
      </c>
      <c r="N227" s="240">
        <f t="shared" si="70"/>
        <v>100</v>
      </c>
      <c r="O227" s="240">
        <f t="shared" si="71"/>
        <v>100</v>
      </c>
      <c r="P227" s="240">
        <f t="shared" si="72"/>
        <v>100</v>
      </c>
      <c r="Q227" s="240">
        <f t="shared" si="73"/>
        <v>0</v>
      </c>
      <c r="R227" s="240">
        <f t="shared" si="74"/>
        <v>100</v>
      </c>
    </row>
    <row r="228" spans="1:18" ht="22.5" customHeight="1" x14ac:dyDescent="0.2">
      <c r="A228" s="258" t="s">
        <v>563</v>
      </c>
      <c r="B228" s="235">
        <v>8</v>
      </c>
      <c r="C228" s="236">
        <v>1</v>
      </c>
      <c r="D228" s="331" t="s">
        <v>564</v>
      </c>
      <c r="E228" s="238"/>
      <c r="F228" s="239"/>
      <c r="G228" s="240">
        <f>G229+G232</f>
        <v>14</v>
      </c>
      <c r="H228" s="240">
        <f>H229+H232</f>
        <v>14</v>
      </c>
      <c r="I228" s="240">
        <f t="shared" ref="I228:J228" si="88">I229+I232</f>
        <v>14</v>
      </c>
      <c r="J228" s="240">
        <f t="shared" si="88"/>
        <v>14</v>
      </c>
      <c r="K228" s="240">
        <f t="shared" si="67"/>
        <v>0</v>
      </c>
      <c r="L228" s="240">
        <f t="shared" si="68"/>
        <v>100</v>
      </c>
      <c r="M228" s="240">
        <f t="shared" si="69"/>
        <v>0</v>
      </c>
      <c r="N228" s="240">
        <f t="shared" si="70"/>
        <v>100</v>
      </c>
      <c r="O228" s="240">
        <f t="shared" si="71"/>
        <v>100</v>
      </c>
      <c r="P228" s="240">
        <f t="shared" si="72"/>
        <v>100</v>
      </c>
      <c r="Q228" s="240">
        <f t="shared" si="73"/>
        <v>0</v>
      </c>
      <c r="R228" s="240">
        <f t="shared" si="74"/>
        <v>100</v>
      </c>
    </row>
    <row r="229" spans="1:18" ht="33.75" x14ac:dyDescent="0.2">
      <c r="A229" s="258" t="s">
        <v>565</v>
      </c>
      <c r="B229" s="235">
        <v>8</v>
      </c>
      <c r="C229" s="236">
        <v>1</v>
      </c>
      <c r="D229" s="332" t="s">
        <v>566</v>
      </c>
      <c r="E229" s="238"/>
      <c r="F229" s="239"/>
      <c r="G229" s="240">
        <f>G230</f>
        <v>14</v>
      </c>
      <c r="H229" s="240">
        <f>H230</f>
        <v>14</v>
      </c>
      <c r="I229" s="240">
        <f t="shared" ref="I229:J230" si="89">I230</f>
        <v>14</v>
      </c>
      <c r="J229" s="240">
        <f t="shared" si="89"/>
        <v>14</v>
      </c>
      <c r="K229" s="240">
        <f t="shared" si="67"/>
        <v>0</v>
      </c>
      <c r="L229" s="240">
        <f t="shared" si="68"/>
        <v>100</v>
      </c>
      <c r="M229" s="240">
        <f t="shared" si="69"/>
        <v>0</v>
      </c>
      <c r="N229" s="240">
        <f t="shared" si="70"/>
        <v>100</v>
      </c>
      <c r="O229" s="240">
        <f t="shared" si="71"/>
        <v>100</v>
      </c>
      <c r="P229" s="240">
        <f t="shared" si="72"/>
        <v>100</v>
      </c>
      <c r="Q229" s="240">
        <f t="shared" si="73"/>
        <v>0</v>
      </c>
      <c r="R229" s="240">
        <f t="shared" si="74"/>
        <v>100</v>
      </c>
    </row>
    <row r="230" spans="1:18" ht="24.75" customHeight="1" x14ac:dyDescent="0.2">
      <c r="A230" s="234" t="s">
        <v>442</v>
      </c>
      <c r="B230" s="235">
        <v>8</v>
      </c>
      <c r="C230" s="236">
        <v>1</v>
      </c>
      <c r="D230" s="332" t="s">
        <v>566</v>
      </c>
      <c r="E230" s="238">
        <v>200</v>
      </c>
      <c r="F230" s="239"/>
      <c r="G230" s="240">
        <f>G231</f>
        <v>14</v>
      </c>
      <c r="H230" s="240">
        <f>H231</f>
        <v>14</v>
      </c>
      <c r="I230" s="240">
        <f t="shared" si="89"/>
        <v>14</v>
      </c>
      <c r="J230" s="240">
        <f t="shared" si="89"/>
        <v>14</v>
      </c>
      <c r="K230" s="240">
        <f t="shared" si="67"/>
        <v>0</v>
      </c>
      <c r="L230" s="240">
        <f t="shared" si="68"/>
        <v>100</v>
      </c>
      <c r="M230" s="240">
        <f t="shared" si="69"/>
        <v>0</v>
      </c>
      <c r="N230" s="240">
        <f t="shared" si="70"/>
        <v>100</v>
      </c>
      <c r="O230" s="240">
        <f t="shared" si="71"/>
        <v>100</v>
      </c>
      <c r="P230" s="240">
        <f t="shared" si="72"/>
        <v>100</v>
      </c>
      <c r="Q230" s="240">
        <f t="shared" si="73"/>
        <v>0</v>
      </c>
      <c r="R230" s="240">
        <f t="shared" si="74"/>
        <v>100</v>
      </c>
    </row>
    <row r="231" spans="1:18" ht="33.75" x14ac:dyDescent="0.2">
      <c r="A231" s="259" t="s">
        <v>443</v>
      </c>
      <c r="B231" s="260">
        <v>8</v>
      </c>
      <c r="C231" s="261">
        <v>1</v>
      </c>
      <c r="D231" s="332" t="s">
        <v>566</v>
      </c>
      <c r="E231" s="263">
        <v>244</v>
      </c>
      <c r="F231" s="264">
        <v>221</v>
      </c>
      <c r="G231" s="265">
        <v>14</v>
      </c>
      <c r="H231" s="265">
        <v>14</v>
      </c>
      <c r="I231" s="265">
        <v>14</v>
      </c>
      <c r="J231" s="265">
        <v>14</v>
      </c>
      <c r="K231" s="265">
        <f t="shared" si="67"/>
        <v>0</v>
      </c>
      <c r="L231" s="265">
        <f t="shared" si="68"/>
        <v>100</v>
      </c>
      <c r="M231" s="265">
        <f t="shared" si="69"/>
        <v>0</v>
      </c>
      <c r="N231" s="265">
        <f t="shared" si="70"/>
        <v>100</v>
      </c>
      <c r="O231" s="265">
        <f t="shared" si="71"/>
        <v>100</v>
      </c>
      <c r="P231" s="265">
        <f t="shared" si="72"/>
        <v>100</v>
      </c>
      <c r="Q231" s="265">
        <f t="shared" si="73"/>
        <v>0</v>
      </c>
      <c r="R231" s="265">
        <f t="shared" si="74"/>
        <v>100</v>
      </c>
    </row>
    <row r="232" spans="1:18" ht="33.75" hidden="1" x14ac:dyDescent="0.2">
      <c r="A232" s="258" t="s">
        <v>565</v>
      </c>
      <c r="B232" s="235">
        <v>8</v>
      </c>
      <c r="C232" s="236">
        <v>1</v>
      </c>
      <c r="D232" s="332" t="s">
        <v>567</v>
      </c>
      <c r="E232" s="238"/>
      <c r="F232" s="239"/>
      <c r="G232" s="240">
        <f>G233</f>
        <v>0</v>
      </c>
      <c r="H232" s="240">
        <f>H233</f>
        <v>0</v>
      </c>
      <c r="I232" s="240">
        <f t="shared" ref="I232:J233" si="90">I233</f>
        <v>0</v>
      </c>
      <c r="J232" s="240">
        <f t="shared" si="90"/>
        <v>0</v>
      </c>
      <c r="K232" s="240">
        <f t="shared" si="67"/>
        <v>0</v>
      </c>
      <c r="L232" s="240" t="e">
        <f t="shared" si="68"/>
        <v>#DIV/0!</v>
      </c>
      <c r="M232" s="240">
        <f t="shared" si="69"/>
        <v>0</v>
      </c>
      <c r="N232" s="240" t="e">
        <f t="shared" si="70"/>
        <v>#DIV/0!</v>
      </c>
      <c r="O232" s="240" t="e">
        <f t="shared" si="71"/>
        <v>#DIV/0!</v>
      </c>
      <c r="P232" s="240" t="e">
        <f t="shared" si="72"/>
        <v>#DIV/0!</v>
      </c>
      <c r="Q232" s="240">
        <f t="shared" si="73"/>
        <v>0</v>
      </c>
      <c r="R232" s="240" t="e">
        <f t="shared" si="74"/>
        <v>#DIV/0!</v>
      </c>
    </row>
    <row r="233" spans="1:18" ht="24.75" hidden="1" customHeight="1" x14ac:dyDescent="0.2">
      <c r="A233" s="234" t="s">
        <v>442</v>
      </c>
      <c r="B233" s="235">
        <v>8</v>
      </c>
      <c r="C233" s="236">
        <v>1</v>
      </c>
      <c r="D233" s="332" t="s">
        <v>567</v>
      </c>
      <c r="E233" s="238">
        <v>200</v>
      </c>
      <c r="F233" s="239"/>
      <c r="G233" s="240">
        <f>G234</f>
        <v>0</v>
      </c>
      <c r="H233" s="240">
        <f>H234</f>
        <v>0</v>
      </c>
      <c r="I233" s="240">
        <f t="shared" si="90"/>
        <v>0</v>
      </c>
      <c r="J233" s="240">
        <f t="shared" si="90"/>
        <v>0</v>
      </c>
      <c r="K233" s="240">
        <f t="shared" si="67"/>
        <v>0</v>
      </c>
      <c r="L233" s="240" t="e">
        <f t="shared" si="68"/>
        <v>#DIV/0!</v>
      </c>
      <c r="M233" s="240">
        <f t="shared" si="69"/>
        <v>0</v>
      </c>
      <c r="N233" s="240" t="e">
        <f t="shared" si="70"/>
        <v>#DIV/0!</v>
      </c>
      <c r="O233" s="240" t="e">
        <f t="shared" si="71"/>
        <v>#DIV/0!</v>
      </c>
      <c r="P233" s="240" t="e">
        <f t="shared" si="72"/>
        <v>#DIV/0!</v>
      </c>
      <c r="Q233" s="240">
        <f t="shared" si="73"/>
        <v>0</v>
      </c>
      <c r="R233" s="240" t="e">
        <f t="shared" si="74"/>
        <v>#DIV/0!</v>
      </c>
    </row>
    <row r="234" spans="1:18" ht="33.75" hidden="1" x14ac:dyDescent="0.2">
      <c r="A234" s="259" t="s">
        <v>443</v>
      </c>
      <c r="B234" s="260">
        <v>8</v>
      </c>
      <c r="C234" s="261">
        <v>1</v>
      </c>
      <c r="D234" s="332" t="s">
        <v>567</v>
      </c>
      <c r="E234" s="263">
        <v>240</v>
      </c>
      <c r="F234" s="264"/>
      <c r="G234" s="265"/>
      <c r="H234" s="265">
        <v>0</v>
      </c>
      <c r="I234" s="265"/>
      <c r="J234" s="265"/>
      <c r="K234" s="265">
        <f t="shared" si="67"/>
        <v>0</v>
      </c>
      <c r="L234" s="265" t="e">
        <f t="shared" si="68"/>
        <v>#DIV/0!</v>
      </c>
      <c r="M234" s="265">
        <f t="shared" si="69"/>
        <v>0</v>
      </c>
      <c r="N234" s="265" t="e">
        <f t="shared" si="70"/>
        <v>#DIV/0!</v>
      </c>
      <c r="O234" s="265" t="e">
        <f t="shared" si="71"/>
        <v>#DIV/0!</v>
      </c>
      <c r="P234" s="265" t="e">
        <f t="shared" si="72"/>
        <v>#DIV/0!</v>
      </c>
      <c r="Q234" s="265">
        <f t="shared" si="73"/>
        <v>0</v>
      </c>
      <c r="R234" s="265" t="e">
        <f t="shared" si="74"/>
        <v>#DIV/0!</v>
      </c>
    </row>
    <row r="235" spans="1:18" ht="26.25" customHeight="1" x14ac:dyDescent="0.2">
      <c r="A235" s="241" t="s">
        <v>568</v>
      </c>
      <c r="B235" s="242">
        <v>8</v>
      </c>
      <c r="C235" s="243">
        <v>1</v>
      </c>
      <c r="D235" s="333" t="s">
        <v>569</v>
      </c>
      <c r="E235" s="245"/>
      <c r="F235" s="246"/>
      <c r="G235" s="247">
        <f t="shared" ref="G235:J238" si="91">G236</f>
        <v>0</v>
      </c>
      <c r="H235" s="247">
        <f t="shared" si="91"/>
        <v>1006</v>
      </c>
      <c r="I235" s="247">
        <f t="shared" si="91"/>
        <v>1006</v>
      </c>
      <c r="J235" s="247">
        <f t="shared" si="91"/>
        <v>1006</v>
      </c>
      <c r="K235" s="247">
        <f t="shared" si="67"/>
        <v>0</v>
      </c>
      <c r="L235" s="247">
        <f t="shared" si="68"/>
        <v>100</v>
      </c>
      <c r="M235" s="247">
        <f t="shared" si="69"/>
        <v>0</v>
      </c>
      <c r="N235" s="247">
        <f t="shared" si="70"/>
        <v>100</v>
      </c>
      <c r="O235" s="247">
        <v>0</v>
      </c>
      <c r="P235" s="247">
        <f t="shared" si="72"/>
        <v>100</v>
      </c>
      <c r="Q235" s="247">
        <f t="shared" si="73"/>
        <v>1006</v>
      </c>
      <c r="R235" s="247">
        <v>100</v>
      </c>
    </row>
    <row r="236" spans="1:18" ht="33.75" x14ac:dyDescent="0.2">
      <c r="A236" s="334" t="s">
        <v>570</v>
      </c>
      <c r="B236" s="235">
        <v>8</v>
      </c>
      <c r="C236" s="236">
        <v>1</v>
      </c>
      <c r="D236" s="335" t="s">
        <v>571</v>
      </c>
      <c r="E236" s="336"/>
      <c r="F236" s="239"/>
      <c r="G236" s="240">
        <f t="shared" si="91"/>
        <v>0</v>
      </c>
      <c r="H236" s="240">
        <f t="shared" si="91"/>
        <v>1006</v>
      </c>
      <c r="I236" s="240">
        <f>I237+I240</f>
        <v>1006</v>
      </c>
      <c r="J236" s="240">
        <f>J237+J240</f>
        <v>1006</v>
      </c>
      <c r="K236" s="240">
        <f t="shared" si="67"/>
        <v>0</v>
      </c>
      <c r="L236" s="240">
        <f t="shared" si="68"/>
        <v>100</v>
      </c>
      <c r="M236" s="240">
        <f t="shared" si="69"/>
        <v>0</v>
      </c>
      <c r="N236" s="240">
        <f t="shared" si="70"/>
        <v>100</v>
      </c>
      <c r="O236" s="240">
        <v>0</v>
      </c>
      <c r="P236" s="240">
        <f t="shared" si="72"/>
        <v>100</v>
      </c>
      <c r="Q236" s="240">
        <f t="shared" si="73"/>
        <v>1006</v>
      </c>
      <c r="R236" s="240">
        <v>100</v>
      </c>
    </row>
    <row r="237" spans="1:18" ht="52.5" x14ac:dyDescent="0.2">
      <c r="A237" s="337" t="s">
        <v>572</v>
      </c>
      <c r="B237" s="235">
        <v>8</v>
      </c>
      <c r="C237" s="236">
        <v>1</v>
      </c>
      <c r="D237" s="338" t="s">
        <v>573</v>
      </c>
      <c r="E237" s="238" t="s">
        <v>457</v>
      </c>
      <c r="F237" s="239"/>
      <c r="G237" s="240">
        <f t="shared" si="91"/>
        <v>0</v>
      </c>
      <c r="H237" s="240">
        <f t="shared" si="91"/>
        <v>1006</v>
      </c>
      <c r="I237" s="240">
        <f t="shared" si="91"/>
        <v>0</v>
      </c>
      <c r="J237" s="240">
        <f t="shared" si="91"/>
        <v>0</v>
      </c>
      <c r="K237" s="339">
        <f t="shared" si="67"/>
        <v>-1006</v>
      </c>
      <c r="L237" s="240">
        <f t="shared" si="68"/>
        <v>0</v>
      </c>
      <c r="M237" s="240">
        <f t="shared" si="69"/>
        <v>0</v>
      </c>
      <c r="N237" s="240">
        <v>0</v>
      </c>
      <c r="O237" s="240">
        <v>0</v>
      </c>
      <c r="P237" s="240">
        <f t="shared" si="72"/>
        <v>0</v>
      </c>
      <c r="Q237" s="240">
        <f t="shared" si="73"/>
        <v>1006</v>
      </c>
      <c r="R237" s="240">
        <v>0</v>
      </c>
    </row>
    <row r="238" spans="1:18" ht="54.75" customHeight="1" x14ac:dyDescent="0.2">
      <c r="A238" s="234" t="s">
        <v>434</v>
      </c>
      <c r="B238" s="235">
        <v>8</v>
      </c>
      <c r="C238" s="236">
        <v>1</v>
      </c>
      <c r="D238" s="332" t="s">
        <v>573</v>
      </c>
      <c r="E238" s="238">
        <v>110</v>
      </c>
      <c r="F238" s="239"/>
      <c r="G238" s="240">
        <f t="shared" si="91"/>
        <v>0</v>
      </c>
      <c r="H238" s="240">
        <f t="shared" si="91"/>
        <v>1006</v>
      </c>
      <c r="I238" s="240">
        <f t="shared" si="91"/>
        <v>0</v>
      </c>
      <c r="J238" s="240">
        <f t="shared" si="91"/>
        <v>0</v>
      </c>
      <c r="K238" s="339">
        <f t="shared" si="67"/>
        <v>-1006</v>
      </c>
      <c r="L238" s="240">
        <f t="shared" si="68"/>
        <v>0</v>
      </c>
      <c r="M238" s="240">
        <f t="shared" si="69"/>
        <v>0</v>
      </c>
      <c r="N238" s="240">
        <v>0</v>
      </c>
      <c r="O238" s="240">
        <v>0</v>
      </c>
      <c r="P238" s="240">
        <f t="shared" si="72"/>
        <v>0</v>
      </c>
      <c r="Q238" s="240">
        <f t="shared" si="73"/>
        <v>1006</v>
      </c>
      <c r="R238" s="240">
        <v>0</v>
      </c>
    </row>
    <row r="239" spans="1:18" ht="21.75" customHeight="1" x14ac:dyDescent="0.2">
      <c r="A239" s="234" t="s">
        <v>435</v>
      </c>
      <c r="B239" s="235">
        <v>8</v>
      </c>
      <c r="C239" s="236">
        <v>1</v>
      </c>
      <c r="D239" s="332" t="s">
        <v>573</v>
      </c>
      <c r="E239" s="238">
        <v>110</v>
      </c>
      <c r="F239" s="239"/>
      <c r="G239" s="240"/>
      <c r="H239" s="240">
        <v>1006</v>
      </c>
      <c r="I239" s="240"/>
      <c r="J239" s="240"/>
      <c r="K239" s="339">
        <f t="shared" si="67"/>
        <v>-1006</v>
      </c>
      <c r="L239" s="240">
        <f t="shared" si="68"/>
        <v>0</v>
      </c>
      <c r="M239" s="240">
        <f t="shared" si="69"/>
        <v>0</v>
      </c>
      <c r="N239" s="240">
        <v>0</v>
      </c>
      <c r="O239" s="240">
        <v>0</v>
      </c>
      <c r="P239" s="240">
        <f t="shared" si="72"/>
        <v>0</v>
      </c>
      <c r="Q239" s="240">
        <f t="shared" si="73"/>
        <v>1006</v>
      </c>
      <c r="R239" s="240">
        <v>0</v>
      </c>
    </row>
    <row r="240" spans="1:18" ht="15.75" customHeight="1" x14ac:dyDescent="0.2">
      <c r="A240" s="234"/>
      <c r="B240" s="235">
        <v>8</v>
      </c>
      <c r="C240" s="236">
        <v>1</v>
      </c>
      <c r="D240" s="332" t="s">
        <v>574</v>
      </c>
      <c r="E240" s="238">
        <v>110</v>
      </c>
      <c r="F240" s="239"/>
      <c r="G240" s="240"/>
      <c r="H240" s="240"/>
      <c r="I240" s="240">
        <f>I241+I242</f>
        <v>1006</v>
      </c>
      <c r="J240" s="240">
        <f>J241+J242</f>
        <v>1006</v>
      </c>
      <c r="K240" s="240">
        <f t="shared" si="67"/>
        <v>1006</v>
      </c>
      <c r="L240" s="240">
        <v>100</v>
      </c>
      <c r="M240" s="240">
        <f t="shared" si="69"/>
        <v>0</v>
      </c>
      <c r="N240" s="240">
        <f t="shared" ref="N240" si="92">J240/I240*100</f>
        <v>100</v>
      </c>
      <c r="O240" s="240">
        <v>0</v>
      </c>
      <c r="P240" s="240">
        <v>0</v>
      </c>
      <c r="Q240" s="240">
        <f t="shared" si="73"/>
        <v>0</v>
      </c>
      <c r="R240" s="240">
        <v>0</v>
      </c>
    </row>
    <row r="241" spans="1:18" ht="15" customHeight="1" x14ac:dyDescent="0.2">
      <c r="A241" s="234"/>
      <c r="B241" s="235">
        <v>8</v>
      </c>
      <c r="C241" s="236">
        <v>1</v>
      </c>
      <c r="D241" s="332" t="s">
        <v>574</v>
      </c>
      <c r="E241" s="238">
        <v>111</v>
      </c>
      <c r="F241" s="239">
        <v>211</v>
      </c>
      <c r="G241" s="240"/>
      <c r="H241" s="240"/>
      <c r="I241" s="240">
        <v>767</v>
      </c>
      <c r="J241" s="240">
        <v>767</v>
      </c>
      <c r="K241" s="240"/>
      <c r="L241" s="240"/>
      <c r="M241" s="240">
        <f t="shared" si="69"/>
        <v>0</v>
      </c>
      <c r="N241" s="240"/>
      <c r="O241" s="240"/>
      <c r="P241" s="240"/>
      <c r="Q241" s="240"/>
      <c r="R241" s="240"/>
    </row>
    <row r="242" spans="1:18" ht="12.75" customHeight="1" x14ac:dyDescent="0.2">
      <c r="A242" s="234"/>
      <c r="B242" s="235">
        <v>8</v>
      </c>
      <c r="C242" s="236">
        <v>1</v>
      </c>
      <c r="D242" s="332" t="s">
        <v>574</v>
      </c>
      <c r="E242" s="238">
        <v>119</v>
      </c>
      <c r="F242" s="239">
        <v>213</v>
      </c>
      <c r="G242" s="240"/>
      <c r="H242" s="240"/>
      <c r="I242" s="240">
        <v>239</v>
      </c>
      <c r="J242" s="240">
        <v>239</v>
      </c>
      <c r="K242" s="240"/>
      <c r="L242" s="240"/>
      <c r="M242" s="240">
        <f t="shared" si="69"/>
        <v>0</v>
      </c>
      <c r="N242" s="240"/>
      <c r="O242" s="240"/>
      <c r="P242" s="240"/>
      <c r="Q242" s="240"/>
      <c r="R242" s="240"/>
    </row>
    <row r="243" spans="1:18" x14ac:dyDescent="0.2">
      <c r="A243" s="273" t="s">
        <v>428</v>
      </c>
      <c r="B243" s="235">
        <v>8</v>
      </c>
      <c r="C243" s="236">
        <v>1</v>
      </c>
      <c r="D243" s="238" t="s">
        <v>429</v>
      </c>
      <c r="E243" s="238"/>
      <c r="F243" s="239"/>
      <c r="G243" s="240">
        <f>G244+G271</f>
        <v>7575</v>
      </c>
      <c r="H243" s="240">
        <f>H244+H271</f>
        <v>7252.15</v>
      </c>
      <c r="I243" s="240">
        <f t="shared" ref="I243:J243" si="93">I244+I271</f>
        <v>7252.1456800000005</v>
      </c>
      <c r="J243" s="240">
        <f t="shared" si="93"/>
        <v>7252.1490300000005</v>
      </c>
      <c r="K243" s="240">
        <f t="shared" si="67"/>
        <v>-4.3199999990974902E-3</v>
      </c>
      <c r="L243" s="240">
        <f t="shared" si="68"/>
        <v>99.99994043145827</v>
      </c>
      <c r="M243" s="240">
        <f t="shared" si="69"/>
        <v>-3.3499999999548891E-3</v>
      </c>
      <c r="N243" s="240">
        <f t="shared" si="70"/>
        <v>100.0000461932254</v>
      </c>
      <c r="O243" s="240">
        <f t="shared" si="71"/>
        <v>95.73794099009902</v>
      </c>
      <c r="P243" s="240">
        <f t="shared" si="72"/>
        <v>99.999986624656145</v>
      </c>
      <c r="Q243" s="240">
        <f t="shared" si="73"/>
        <v>-322.85000000000036</v>
      </c>
      <c r="R243" s="240">
        <f t="shared" si="74"/>
        <v>95.737953795379539</v>
      </c>
    </row>
    <row r="244" spans="1:18" ht="22.5" x14ac:dyDescent="0.2">
      <c r="A244" s="241" t="s">
        <v>575</v>
      </c>
      <c r="B244" s="242">
        <v>8</v>
      </c>
      <c r="C244" s="243">
        <v>1</v>
      </c>
      <c r="D244" s="294" t="s">
        <v>576</v>
      </c>
      <c r="E244" s="245"/>
      <c r="F244" s="246"/>
      <c r="G244" s="247">
        <f>G245+G267</f>
        <v>7575</v>
      </c>
      <c r="H244" s="247">
        <f>H245+H267</f>
        <v>6897.0499999999993</v>
      </c>
      <c r="I244" s="247">
        <f t="shared" ref="I244:J244" si="94">I245+I267</f>
        <v>6897.0456800000002</v>
      </c>
      <c r="J244" s="247">
        <f t="shared" si="94"/>
        <v>6897.0490300000001</v>
      </c>
      <c r="K244" s="247">
        <f t="shared" si="67"/>
        <v>-4.3199999990974902E-3</v>
      </c>
      <c r="L244" s="247">
        <f t="shared" si="68"/>
        <v>99.999937364525422</v>
      </c>
      <c r="M244" s="247">
        <f t="shared" si="69"/>
        <v>-3.3499999999548891E-3</v>
      </c>
      <c r="N244" s="247">
        <f t="shared" si="70"/>
        <v>100.00004857152113</v>
      </c>
      <c r="O244" s="247">
        <f t="shared" si="71"/>
        <v>91.050152211221132</v>
      </c>
      <c r="P244" s="247">
        <f t="shared" si="72"/>
        <v>99.999985936016131</v>
      </c>
      <c r="Q244" s="247">
        <f t="shared" si="73"/>
        <v>-677.95000000000073</v>
      </c>
      <c r="R244" s="247">
        <f t="shared" si="74"/>
        <v>91.050165016501637</v>
      </c>
    </row>
    <row r="245" spans="1:18" ht="22.5" x14ac:dyDescent="0.2">
      <c r="A245" s="234" t="s">
        <v>577</v>
      </c>
      <c r="B245" s="235">
        <v>8</v>
      </c>
      <c r="C245" s="236">
        <v>1</v>
      </c>
      <c r="D245" s="237" t="s">
        <v>578</v>
      </c>
      <c r="E245" s="336"/>
      <c r="F245" s="239"/>
      <c r="G245" s="240">
        <f>G246+G252+G262</f>
        <v>7412</v>
      </c>
      <c r="H245" s="240">
        <f>H246+H252+H262</f>
        <v>6694.86</v>
      </c>
      <c r="I245" s="240">
        <f t="shared" ref="I245:J245" si="95">I246+I252+I262</f>
        <v>6694.8542699999998</v>
      </c>
      <c r="J245" s="240">
        <f t="shared" si="95"/>
        <v>6694.8576199999998</v>
      </c>
      <c r="K245" s="240">
        <f t="shared" si="67"/>
        <v>-5.7299999998576823E-3</v>
      </c>
      <c r="L245" s="240">
        <f t="shared" si="68"/>
        <v>99.999914411951863</v>
      </c>
      <c r="M245" s="240">
        <f t="shared" si="69"/>
        <v>-3.3499999999548891E-3</v>
      </c>
      <c r="N245" s="240">
        <f t="shared" si="70"/>
        <v>100.00005003843049</v>
      </c>
      <c r="O245" s="240">
        <f t="shared" si="71"/>
        <v>90.324576632487847</v>
      </c>
      <c r="P245" s="240">
        <f t="shared" si="72"/>
        <v>99.999964450339519</v>
      </c>
      <c r="Q245" s="240">
        <f t="shared" si="73"/>
        <v>-717.14000000000033</v>
      </c>
      <c r="R245" s="240">
        <f t="shared" si="74"/>
        <v>90.324608742579599</v>
      </c>
    </row>
    <row r="246" spans="1:18" ht="42.75" customHeight="1" x14ac:dyDescent="0.2">
      <c r="A246" s="248" t="s">
        <v>434</v>
      </c>
      <c r="B246" s="235">
        <v>8</v>
      </c>
      <c r="C246" s="236">
        <v>1</v>
      </c>
      <c r="D246" s="237" t="s">
        <v>578</v>
      </c>
      <c r="E246" s="238">
        <v>100</v>
      </c>
      <c r="F246" s="239"/>
      <c r="G246" s="240">
        <f>G247</f>
        <v>6209.1</v>
      </c>
      <c r="H246" s="240">
        <f>H247</f>
        <v>5816.98</v>
      </c>
      <c r="I246" s="240">
        <f t="shared" ref="I246:J246" si="96">I247</f>
        <v>5816.9820799999998</v>
      </c>
      <c r="J246" s="240">
        <f t="shared" si="96"/>
        <v>5816.9820799999998</v>
      </c>
      <c r="K246" s="240">
        <f t="shared" si="67"/>
        <v>2.080000000205473E-3</v>
      </c>
      <c r="L246" s="240">
        <f t="shared" si="68"/>
        <v>100.00003575738614</v>
      </c>
      <c r="M246" s="240">
        <f t="shared" si="69"/>
        <v>0</v>
      </c>
      <c r="N246" s="240">
        <f t="shared" si="70"/>
        <v>100</v>
      </c>
      <c r="O246" s="240">
        <f t="shared" si="71"/>
        <v>93.684786523006551</v>
      </c>
      <c r="P246" s="240">
        <f t="shared" si="72"/>
        <v>100.00003575738614</v>
      </c>
      <c r="Q246" s="240">
        <f t="shared" si="73"/>
        <v>-392.1200000000008</v>
      </c>
      <c r="R246" s="240">
        <f t="shared" si="74"/>
        <v>93.684753023787664</v>
      </c>
    </row>
    <row r="247" spans="1:18" ht="24.75" customHeight="1" x14ac:dyDescent="0.2">
      <c r="A247" s="234" t="s">
        <v>500</v>
      </c>
      <c r="B247" s="235">
        <v>8</v>
      </c>
      <c r="C247" s="236">
        <v>1</v>
      </c>
      <c r="D247" s="237" t="s">
        <v>578</v>
      </c>
      <c r="E247" s="238">
        <v>110</v>
      </c>
      <c r="F247" s="239"/>
      <c r="G247" s="240">
        <v>6209.1</v>
      </c>
      <c r="H247" s="240">
        <v>5816.98</v>
      </c>
      <c r="I247" s="240">
        <f>I248+I249+I250+I251</f>
        <v>5816.9820799999998</v>
      </c>
      <c r="J247" s="240">
        <f>J248+J249+J250+J251</f>
        <v>5816.9820799999998</v>
      </c>
      <c r="K247" s="240">
        <f t="shared" si="67"/>
        <v>2.080000000205473E-3</v>
      </c>
      <c r="L247" s="240">
        <f t="shared" si="68"/>
        <v>100.00003575738614</v>
      </c>
      <c r="M247" s="240">
        <f t="shared" si="69"/>
        <v>0</v>
      </c>
      <c r="N247" s="240">
        <f t="shared" si="70"/>
        <v>100</v>
      </c>
      <c r="O247" s="240">
        <f t="shared" si="71"/>
        <v>93.684786523006551</v>
      </c>
      <c r="P247" s="240">
        <f t="shared" si="72"/>
        <v>100.00003575738614</v>
      </c>
      <c r="Q247" s="240">
        <f t="shared" si="73"/>
        <v>-392.1200000000008</v>
      </c>
      <c r="R247" s="240">
        <f t="shared" si="74"/>
        <v>93.684753023787664</v>
      </c>
    </row>
    <row r="248" spans="1:18" ht="16.5" customHeight="1" x14ac:dyDescent="0.2">
      <c r="A248" s="234"/>
      <c r="B248" s="235">
        <v>8</v>
      </c>
      <c r="C248" s="236">
        <v>1</v>
      </c>
      <c r="D248" s="237" t="s">
        <v>578</v>
      </c>
      <c r="E248" s="238">
        <v>111</v>
      </c>
      <c r="F248" s="239">
        <v>211</v>
      </c>
      <c r="G248" s="240"/>
      <c r="H248" s="240"/>
      <c r="I248" s="240">
        <v>4420.1154100000003</v>
      </c>
      <c r="J248" s="240">
        <v>4420.1154100000003</v>
      </c>
      <c r="K248" s="240"/>
      <c r="L248" s="240"/>
      <c r="M248" s="240">
        <f t="shared" si="69"/>
        <v>0</v>
      </c>
      <c r="N248" s="240"/>
      <c r="O248" s="240"/>
      <c r="P248" s="240"/>
      <c r="Q248" s="240"/>
      <c r="R248" s="240"/>
    </row>
    <row r="249" spans="1:18" ht="18" customHeight="1" x14ac:dyDescent="0.2">
      <c r="A249" s="234"/>
      <c r="B249" s="235">
        <v>8</v>
      </c>
      <c r="C249" s="236">
        <v>1</v>
      </c>
      <c r="D249" s="237" t="s">
        <v>578</v>
      </c>
      <c r="E249" s="238">
        <v>112</v>
      </c>
      <c r="F249" s="239">
        <v>212</v>
      </c>
      <c r="G249" s="240"/>
      <c r="H249" s="240"/>
      <c r="I249" s="240">
        <v>75.587789999999998</v>
      </c>
      <c r="J249" s="240">
        <v>75.587789999999998</v>
      </c>
      <c r="K249" s="240"/>
      <c r="L249" s="240"/>
      <c r="M249" s="240">
        <f t="shared" si="69"/>
        <v>0</v>
      </c>
      <c r="N249" s="240"/>
      <c r="O249" s="240"/>
      <c r="P249" s="240"/>
      <c r="Q249" s="240"/>
      <c r="R249" s="240"/>
    </row>
    <row r="250" spans="1:18" ht="16.5" customHeight="1" x14ac:dyDescent="0.2">
      <c r="A250" s="234"/>
      <c r="B250" s="235">
        <v>8</v>
      </c>
      <c r="C250" s="236">
        <v>1</v>
      </c>
      <c r="D250" s="237" t="s">
        <v>578</v>
      </c>
      <c r="E250" s="238">
        <v>113</v>
      </c>
      <c r="F250" s="239">
        <v>296</v>
      </c>
      <c r="G250" s="240"/>
      <c r="H250" s="240"/>
      <c r="I250" s="240">
        <v>7.12</v>
      </c>
      <c r="J250" s="240">
        <v>7.12</v>
      </c>
      <c r="K250" s="240"/>
      <c r="L250" s="240"/>
      <c r="M250" s="240">
        <f t="shared" si="69"/>
        <v>0</v>
      </c>
      <c r="N250" s="240"/>
      <c r="O250" s="240"/>
      <c r="P250" s="240"/>
      <c r="Q250" s="240"/>
      <c r="R250" s="240"/>
    </row>
    <row r="251" spans="1:18" ht="16.5" customHeight="1" x14ac:dyDescent="0.2">
      <c r="A251" s="234"/>
      <c r="B251" s="235">
        <v>8</v>
      </c>
      <c r="C251" s="236">
        <v>1</v>
      </c>
      <c r="D251" s="237" t="s">
        <v>578</v>
      </c>
      <c r="E251" s="238">
        <v>119</v>
      </c>
      <c r="F251" s="239">
        <v>213</v>
      </c>
      <c r="G251" s="240"/>
      <c r="H251" s="240"/>
      <c r="I251" s="240">
        <v>1314.15888</v>
      </c>
      <c r="J251" s="240">
        <v>1314.15888</v>
      </c>
      <c r="K251" s="240"/>
      <c r="L251" s="240"/>
      <c r="M251" s="240">
        <f t="shared" si="69"/>
        <v>0</v>
      </c>
      <c r="N251" s="240"/>
      <c r="O251" s="240"/>
      <c r="P251" s="240"/>
      <c r="Q251" s="240"/>
      <c r="R251" s="240"/>
    </row>
    <row r="252" spans="1:18" ht="23.25" customHeight="1" x14ac:dyDescent="0.2">
      <c r="A252" s="234" t="s">
        <v>442</v>
      </c>
      <c r="B252" s="235">
        <v>8</v>
      </c>
      <c r="C252" s="236">
        <v>1</v>
      </c>
      <c r="D252" s="237" t="s">
        <v>578</v>
      </c>
      <c r="E252" s="238">
        <v>200</v>
      </c>
      <c r="F252" s="239"/>
      <c r="G252" s="240">
        <f>G253</f>
        <v>1188.5</v>
      </c>
      <c r="H252" s="240">
        <f>H253</f>
        <v>859.46</v>
      </c>
      <c r="I252" s="240">
        <f t="shared" ref="I252:J252" si="97">I253</f>
        <v>859.44818999999995</v>
      </c>
      <c r="J252" s="240">
        <f t="shared" si="97"/>
        <v>859.44818999999995</v>
      </c>
      <c r="K252" s="240">
        <f t="shared" si="67"/>
        <v>-1.1810000000082255E-2</v>
      </c>
      <c r="L252" s="240">
        <f t="shared" si="68"/>
        <v>99.99862588136736</v>
      </c>
      <c r="M252" s="240">
        <f t="shared" si="69"/>
        <v>0</v>
      </c>
      <c r="N252" s="240">
        <f t="shared" si="70"/>
        <v>100</v>
      </c>
      <c r="O252" s="240">
        <f t="shared" si="71"/>
        <v>72.313688683214124</v>
      </c>
      <c r="P252" s="240">
        <f t="shared" si="72"/>
        <v>99.99862588136736</v>
      </c>
      <c r="Q252" s="240">
        <f t="shared" si="73"/>
        <v>-329.03999999999996</v>
      </c>
      <c r="R252" s="240">
        <f t="shared" si="74"/>
        <v>72.314682372738744</v>
      </c>
    </row>
    <row r="253" spans="1:18" ht="33.75" x14ac:dyDescent="0.2">
      <c r="A253" s="234" t="s">
        <v>443</v>
      </c>
      <c r="B253" s="235">
        <v>8</v>
      </c>
      <c r="C253" s="236">
        <v>1</v>
      </c>
      <c r="D253" s="237" t="s">
        <v>578</v>
      </c>
      <c r="E253" s="238">
        <v>240</v>
      </c>
      <c r="F253" s="239"/>
      <c r="G253" s="240">
        <v>1188.5</v>
      </c>
      <c r="H253" s="240">
        <v>859.46</v>
      </c>
      <c r="I253" s="240">
        <f>SUM(I254:I261)</f>
        <v>859.44818999999995</v>
      </c>
      <c r="J253" s="240">
        <f>SUM(J254:J261)</f>
        <v>859.44818999999995</v>
      </c>
      <c r="K253" s="240">
        <f t="shared" si="67"/>
        <v>-1.1810000000082255E-2</v>
      </c>
      <c r="L253" s="240">
        <f t="shared" si="68"/>
        <v>99.99862588136736</v>
      </c>
      <c r="M253" s="240">
        <f t="shared" si="69"/>
        <v>0</v>
      </c>
      <c r="N253" s="240">
        <f t="shared" si="70"/>
        <v>100</v>
      </c>
      <c r="O253" s="240">
        <f t="shared" si="71"/>
        <v>72.313688683214124</v>
      </c>
      <c r="P253" s="240">
        <f t="shared" si="72"/>
        <v>99.99862588136736</v>
      </c>
      <c r="Q253" s="240">
        <f t="shared" si="73"/>
        <v>-329.03999999999996</v>
      </c>
      <c r="R253" s="240">
        <f t="shared" si="74"/>
        <v>72.314682372738744</v>
      </c>
    </row>
    <row r="254" spans="1:18" x14ac:dyDescent="0.2">
      <c r="A254" s="234"/>
      <c r="B254" s="235">
        <v>8</v>
      </c>
      <c r="C254" s="236">
        <v>1</v>
      </c>
      <c r="D254" s="237" t="s">
        <v>578</v>
      </c>
      <c r="E254" s="238">
        <v>244</v>
      </c>
      <c r="F254" s="239">
        <v>221</v>
      </c>
      <c r="G254" s="240"/>
      <c r="H254" s="240"/>
      <c r="I254" s="240">
        <v>84.47296</v>
      </c>
      <c r="J254" s="240">
        <v>84.47296</v>
      </c>
      <c r="K254" s="240"/>
      <c r="L254" s="240"/>
      <c r="M254" s="240">
        <f t="shared" si="69"/>
        <v>0</v>
      </c>
      <c r="N254" s="240"/>
      <c r="O254" s="240"/>
      <c r="P254" s="240"/>
      <c r="Q254" s="240"/>
      <c r="R254" s="240"/>
    </row>
    <row r="255" spans="1:18" x14ac:dyDescent="0.2">
      <c r="A255" s="234"/>
      <c r="B255" s="235">
        <v>8</v>
      </c>
      <c r="C255" s="236">
        <v>1</v>
      </c>
      <c r="D255" s="237" t="s">
        <v>578</v>
      </c>
      <c r="E255" s="238">
        <v>244</v>
      </c>
      <c r="F255" s="239">
        <v>223</v>
      </c>
      <c r="G255" s="240"/>
      <c r="H255" s="240"/>
      <c r="I255" s="240">
        <v>318.67338000000001</v>
      </c>
      <c r="J255" s="240">
        <v>318.67338000000001</v>
      </c>
      <c r="K255" s="240"/>
      <c r="L255" s="240"/>
      <c r="M255" s="240">
        <f t="shared" si="69"/>
        <v>0</v>
      </c>
      <c r="N255" s="240"/>
      <c r="O255" s="240"/>
      <c r="P255" s="240"/>
      <c r="Q255" s="240"/>
      <c r="R255" s="240"/>
    </row>
    <row r="256" spans="1:18" x14ac:dyDescent="0.2">
      <c r="A256" s="234"/>
      <c r="B256" s="235">
        <v>8</v>
      </c>
      <c r="C256" s="236">
        <v>1</v>
      </c>
      <c r="D256" s="237" t="s">
        <v>578</v>
      </c>
      <c r="E256" s="238">
        <v>244</v>
      </c>
      <c r="F256" s="239">
        <v>225</v>
      </c>
      <c r="G256" s="240"/>
      <c r="H256" s="240"/>
      <c r="I256" s="240">
        <v>111.795</v>
      </c>
      <c r="J256" s="240">
        <v>111.795</v>
      </c>
      <c r="K256" s="240"/>
      <c r="L256" s="240"/>
      <c r="M256" s="240">
        <f t="shared" si="69"/>
        <v>0</v>
      </c>
      <c r="N256" s="240"/>
      <c r="O256" s="240"/>
      <c r="P256" s="240"/>
      <c r="Q256" s="240"/>
      <c r="R256" s="240"/>
    </row>
    <row r="257" spans="1:18" x14ac:dyDescent="0.2">
      <c r="A257" s="234"/>
      <c r="B257" s="235">
        <v>8</v>
      </c>
      <c r="C257" s="236">
        <v>1</v>
      </c>
      <c r="D257" s="237" t="s">
        <v>578</v>
      </c>
      <c r="E257" s="238">
        <v>244</v>
      </c>
      <c r="F257" s="239">
        <v>226</v>
      </c>
      <c r="G257" s="240"/>
      <c r="H257" s="240"/>
      <c r="I257" s="240">
        <v>172.05535</v>
      </c>
      <c r="J257" s="240">
        <v>172.05535</v>
      </c>
      <c r="K257" s="240"/>
      <c r="L257" s="240"/>
      <c r="M257" s="240">
        <f t="shared" si="69"/>
        <v>0</v>
      </c>
      <c r="N257" s="240"/>
      <c r="O257" s="240"/>
      <c r="P257" s="240"/>
      <c r="Q257" s="240"/>
      <c r="R257" s="240"/>
    </row>
    <row r="258" spans="1:18" x14ac:dyDescent="0.2">
      <c r="A258" s="234"/>
      <c r="B258" s="235">
        <v>8</v>
      </c>
      <c r="C258" s="236">
        <v>1</v>
      </c>
      <c r="D258" s="237" t="s">
        <v>578</v>
      </c>
      <c r="E258" s="238">
        <v>244</v>
      </c>
      <c r="F258" s="239">
        <v>296</v>
      </c>
      <c r="G258" s="240"/>
      <c r="H258" s="240"/>
      <c r="I258" s="240">
        <v>102.52003999999999</v>
      </c>
      <c r="J258" s="240">
        <v>102.52003999999999</v>
      </c>
      <c r="K258" s="240"/>
      <c r="L258" s="240"/>
      <c r="M258" s="240">
        <f t="shared" si="69"/>
        <v>0</v>
      </c>
      <c r="N258" s="240"/>
      <c r="O258" s="240"/>
      <c r="P258" s="240"/>
      <c r="Q258" s="240"/>
      <c r="R258" s="240"/>
    </row>
    <row r="259" spans="1:18" x14ac:dyDescent="0.2">
      <c r="A259" s="234"/>
      <c r="B259" s="235">
        <v>8</v>
      </c>
      <c r="C259" s="236">
        <v>1</v>
      </c>
      <c r="D259" s="237" t="s">
        <v>578</v>
      </c>
      <c r="E259" s="238">
        <v>244</v>
      </c>
      <c r="F259" s="239">
        <v>310</v>
      </c>
      <c r="G259" s="240"/>
      <c r="H259" s="240"/>
      <c r="I259" s="240">
        <v>51.328850000000003</v>
      </c>
      <c r="J259" s="240">
        <v>51.328850000000003</v>
      </c>
      <c r="K259" s="240"/>
      <c r="L259" s="240"/>
      <c r="M259" s="240">
        <f t="shared" si="69"/>
        <v>0</v>
      </c>
      <c r="N259" s="240"/>
      <c r="O259" s="240"/>
      <c r="P259" s="240"/>
      <c r="Q259" s="240"/>
      <c r="R259" s="240"/>
    </row>
    <row r="260" spans="1:18" x14ac:dyDescent="0.2">
      <c r="A260" s="234"/>
      <c r="B260" s="235">
        <v>8</v>
      </c>
      <c r="C260" s="236">
        <v>1</v>
      </c>
      <c r="D260" s="237" t="s">
        <v>578</v>
      </c>
      <c r="E260" s="238">
        <v>244</v>
      </c>
      <c r="F260" s="239">
        <v>340</v>
      </c>
      <c r="G260" s="240"/>
      <c r="H260" s="240"/>
      <c r="I260" s="240">
        <v>18.602609999999999</v>
      </c>
      <c r="J260" s="240">
        <v>18.602609999999999</v>
      </c>
      <c r="K260" s="240"/>
      <c r="L260" s="240"/>
      <c r="M260" s="240">
        <f t="shared" si="69"/>
        <v>0</v>
      </c>
      <c r="N260" s="240"/>
      <c r="O260" s="240"/>
      <c r="P260" s="240"/>
      <c r="Q260" s="240"/>
      <c r="R260" s="240"/>
    </row>
    <row r="261" spans="1:18" x14ac:dyDescent="0.2">
      <c r="A261" s="234"/>
      <c r="B261" s="235">
        <v>8</v>
      </c>
      <c r="C261" s="236">
        <v>1</v>
      </c>
      <c r="D261" s="237" t="s">
        <v>578</v>
      </c>
      <c r="E261" s="238"/>
      <c r="F261" s="239"/>
      <c r="G261" s="240"/>
      <c r="H261" s="240"/>
      <c r="I261" s="240"/>
      <c r="J261" s="240"/>
      <c r="K261" s="240"/>
      <c r="L261" s="240"/>
      <c r="M261" s="240">
        <f t="shared" si="69"/>
        <v>0</v>
      </c>
      <c r="N261" s="240"/>
      <c r="O261" s="240"/>
      <c r="P261" s="240"/>
      <c r="Q261" s="240"/>
      <c r="R261" s="240"/>
    </row>
    <row r="262" spans="1:18" x14ac:dyDescent="0.2">
      <c r="A262" s="234" t="s">
        <v>448</v>
      </c>
      <c r="B262" s="235">
        <v>8</v>
      </c>
      <c r="C262" s="236">
        <v>1</v>
      </c>
      <c r="D262" s="237" t="s">
        <v>578</v>
      </c>
      <c r="E262" s="238">
        <v>800</v>
      </c>
      <c r="F262" s="239"/>
      <c r="G262" s="240">
        <f>G263</f>
        <v>14.4</v>
      </c>
      <c r="H262" s="240">
        <f>H263</f>
        <v>18.420000000000002</v>
      </c>
      <c r="I262" s="240">
        <f t="shared" ref="I262:J262" si="98">I263</f>
        <v>18.423999999999999</v>
      </c>
      <c r="J262" s="240">
        <f t="shared" si="98"/>
        <v>18.427350000000001</v>
      </c>
      <c r="K262" s="240">
        <f t="shared" si="67"/>
        <v>3.9999999999977831E-3</v>
      </c>
      <c r="L262" s="240">
        <f t="shared" si="68"/>
        <v>100.02171552660151</v>
      </c>
      <c r="M262" s="240">
        <f t="shared" si="69"/>
        <v>-3.3500000000010743E-3</v>
      </c>
      <c r="N262" s="240">
        <f t="shared" si="70"/>
        <v>100.01818280503691</v>
      </c>
      <c r="O262" s="240">
        <f t="shared" si="71"/>
        <v>127.96770833333333</v>
      </c>
      <c r="P262" s="240">
        <f t="shared" si="72"/>
        <v>100.03990228013029</v>
      </c>
      <c r="Q262" s="240">
        <f t="shared" si="73"/>
        <v>4.0200000000000014</v>
      </c>
      <c r="R262" s="240">
        <f t="shared" si="74"/>
        <v>127.91666666666669</v>
      </c>
    </row>
    <row r="263" spans="1:18" x14ac:dyDescent="0.2">
      <c r="A263" s="234" t="s">
        <v>454</v>
      </c>
      <c r="B263" s="235">
        <v>8</v>
      </c>
      <c r="C263" s="236">
        <v>1</v>
      </c>
      <c r="D263" s="237" t="s">
        <v>578</v>
      </c>
      <c r="E263" s="238">
        <v>850</v>
      </c>
      <c r="F263" s="239"/>
      <c r="G263" s="240">
        <v>14.4</v>
      </c>
      <c r="H263" s="240">
        <v>18.420000000000002</v>
      </c>
      <c r="I263" s="240">
        <f>I264+I265+I266</f>
        <v>18.423999999999999</v>
      </c>
      <c r="J263" s="240">
        <f>J264+J265+J266</f>
        <v>18.427350000000001</v>
      </c>
      <c r="K263" s="240">
        <f t="shared" si="67"/>
        <v>3.9999999999977831E-3</v>
      </c>
      <c r="L263" s="240">
        <f t="shared" si="68"/>
        <v>100.02171552660151</v>
      </c>
      <c r="M263" s="240">
        <f t="shared" si="69"/>
        <v>-3.3500000000010743E-3</v>
      </c>
      <c r="N263" s="240">
        <f>J263/I263*100</f>
        <v>100.01818280503691</v>
      </c>
      <c r="O263" s="240">
        <f t="shared" si="71"/>
        <v>127.96770833333333</v>
      </c>
      <c r="P263" s="240">
        <f t="shared" si="72"/>
        <v>100.03990228013029</v>
      </c>
      <c r="Q263" s="240">
        <f t="shared" si="73"/>
        <v>4.0200000000000014</v>
      </c>
      <c r="R263" s="240">
        <f t="shared" si="74"/>
        <v>127.91666666666669</v>
      </c>
    </row>
    <row r="264" spans="1:18" x14ac:dyDescent="0.2">
      <c r="A264" s="234"/>
      <c r="B264" s="235">
        <v>8</v>
      </c>
      <c r="C264" s="236">
        <v>1</v>
      </c>
      <c r="D264" s="237" t="s">
        <v>578</v>
      </c>
      <c r="E264" s="238">
        <v>851</v>
      </c>
      <c r="F264" s="239">
        <v>291</v>
      </c>
      <c r="G264" s="240"/>
      <c r="H264" s="240"/>
      <c r="I264" s="240">
        <v>12.073</v>
      </c>
      <c r="J264" s="240">
        <v>12.073</v>
      </c>
      <c r="K264" s="240"/>
      <c r="L264" s="240"/>
      <c r="M264" s="240">
        <f t="shared" si="69"/>
        <v>0</v>
      </c>
      <c r="N264" s="240"/>
      <c r="O264" s="240"/>
      <c r="P264" s="240"/>
      <c r="Q264" s="240"/>
      <c r="R264" s="240"/>
    </row>
    <row r="265" spans="1:18" x14ac:dyDescent="0.2">
      <c r="A265" s="234"/>
      <c r="B265" s="235">
        <v>8</v>
      </c>
      <c r="C265" s="236">
        <v>1</v>
      </c>
      <c r="D265" s="237" t="s">
        <v>578</v>
      </c>
      <c r="E265" s="238">
        <v>852</v>
      </c>
      <c r="F265" s="239">
        <v>291</v>
      </c>
      <c r="G265" s="240"/>
      <c r="H265" s="240"/>
      <c r="I265" s="240">
        <v>1.369</v>
      </c>
      <c r="J265" s="240">
        <v>1.369</v>
      </c>
      <c r="K265" s="240"/>
      <c r="L265" s="240"/>
      <c r="M265" s="240">
        <f t="shared" si="69"/>
        <v>0</v>
      </c>
      <c r="N265" s="240"/>
      <c r="O265" s="240"/>
      <c r="P265" s="240"/>
      <c r="Q265" s="240"/>
      <c r="R265" s="240"/>
    </row>
    <row r="266" spans="1:18" x14ac:dyDescent="0.2">
      <c r="A266" s="234"/>
      <c r="B266" s="235">
        <v>8</v>
      </c>
      <c r="C266" s="236">
        <v>1</v>
      </c>
      <c r="D266" s="237" t="s">
        <v>578</v>
      </c>
      <c r="E266" s="238">
        <v>853</v>
      </c>
      <c r="F266" s="239">
        <v>292</v>
      </c>
      <c r="G266" s="240"/>
      <c r="H266" s="240"/>
      <c r="I266" s="240">
        <v>4.9820000000000002</v>
      </c>
      <c r="J266" s="240">
        <v>4.9853500000000004</v>
      </c>
      <c r="K266" s="240"/>
      <c r="L266" s="240"/>
      <c r="M266" s="240">
        <f t="shared" si="69"/>
        <v>-3.3500000000001862E-3</v>
      </c>
      <c r="N266" s="240"/>
      <c r="O266" s="240"/>
      <c r="P266" s="240"/>
      <c r="Q266" s="240"/>
      <c r="R266" s="240"/>
    </row>
    <row r="267" spans="1:18" ht="22.5" x14ac:dyDescent="0.2">
      <c r="A267" s="241" t="s">
        <v>579</v>
      </c>
      <c r="B267" s="242">
        <v>8</v>
      </c>
      <c r="C267" s="243">
        <v>1</v>
      </c>
      <c r="D267" s="244" t="s">
        <v>580</v>
      </c>
      <c r="E267" s="245"/>
      <c r="F267" s="246"/>
      <c r="G267" s="247">
        <f>G268</f>
        <v>163</v>
      </c>
      <c r="H267" s="247">
        <f>H268</f>
        <v>202.19</v>
      </c>
      <c r="I267" s="247">
        <f>I268+I270</f>
        <v>202.19140999999999</v>
      </c>
      <c r="J267" s="247">
        <f>J268+J270</f>
        <v>202.19140999999999</v>
      </c>
      <c r="K267" s="247">
        <f t="shared" si="67"/>
        <v>1.4099999999928059E-3</v>
      </c>
      <c r="L267" s="247">
        <f t="shared" si="68"/>
        <v>100.00069736386567</v>
      </c>
      <c r="M267" s="247">
        <f t="shared" si="69"/>
        <v>0</v>
      </c>
      <c r="N267" s="247">
        <f t="shared" si="70"/>
        <v>100</v>
      </c>
      <c r="O267" s="247">
        <f t="shared" si="71"/>
        <v>124.04380981595091</v>
      </c>
      <c r="P267" s="247">
        <f t="shared" si="72"/>
        <v>100.00069736386567</v>
      </c>
      <c r="Q267" s="247">
        <f t="shared" si="73"/>
        <v>39.19</v>
      </c>
      <c r="R267" s="247">
        <f t="shared" si="74"/>
        <v>124.04294478527606</v>
      </c>
    </row>
    <row r="268" spans="1:18" ht="24" customHeight="1" x14ac:dyDescent="0.2">
      <c r="A268" s="234" t="s">
        <v>442</v>
      </c>
      <c r="B268" s="235">
        <v>8</v>
      </c>
      <c r="C268" s="236">
        <v>1</v>
      </c>
      <c r="D268" s="237" t="s">
        <v>580</v>
      </c>
      <c r="E268" s="238">
        <v>200</v>
      </c>
      <c r="F268" s="239"/>
      <c r="G268" s="240">
        <f>G269</f>
        <v>163</v>
      </c>
      <c r="H268" s="240">
        <f>H269</f>
        <v>202.19</v>
      </c>
      <c r="I268" s="240">
        <f t="shared" ref="I268:J268" si="99">I269</f>
        <v>192.69140999999999</v>
      </c>
      <c r="J268" s="240">
        <f t="shared" si="99"/>
        <v>192.69140999999999</v>
      </c>
      <c r="K268" s="240">
        <f t="shared" si="67"/>
        <v>-9.4985900000000072</v>
      </c>
      <c r="L268" s="240">
        <f t="shared" si="68"/>
        <v>95.302146495870218</v>
      </c>
      <c r="M268" s="240">
        <f t="shared" si="69"/>
        <v>0</v>
      </c>
      <c r="N268" s="240">
        <f t="shared" si="70"/>
        <v>100</v>
      </c>
      <c r="O268" s="240">
        <f t="shared" si="71"/>
        <v>118.21558895705522</v>
      </c>
      <c r="P268" s="240">
        <f t="shared" si="72"/>
        <v>95.302146495870218</v>
      </c>
      <c r="Q268" s="240">
        <f t="shared" si="73"/>
        <v>39.19</v>
      </c>
      <c r="R268" s="240">
        <f t="shared" si="74"/>
        <v>124.04294478527606</v>
      </c>
    </row>
    <row r="269" spans="1:18" ht="33.75" x14ac:dyDescent="0.2">
      <c r="A269" s="259" t="s">
        <v>443</v>
      </c>
      <c r="B269" s="260">
        <v>8</v>
      </c>
      <c r="C269" s="261">
        <v>1</v>
      </c>
      <c r="D269" s="262" t="s">
        <v>580</v>
      </c>
      <c r="E269" s="263">
        <v>244</v>
      </c>
      <c r="F269" s="264">
        <v>296</v>
      </c>
      <c r="G269" s="265">
        <v>163</v>
      </c>
      <c r="H269" s="265">
        <v>202.19</v>
      </c>
      <c r="I269" s="265">
        <v>192.69140999999999</v>
      </c>
      <c r="J269" s="265">
        <v>192.69140999999999</v>
      </c>
      <c r="K269" s="265">
        <f t="shared" si="67"/>
        <v>-9.4985900000000072</v>
      </c>
      <c r="L269" s="265">
        <f t="shared" si="68"/>
        <v>95.302146495870218</v>
      </c>
      <c r="M269" s="265">
        <f t="shared" si="69"/>
        <v>0</v>
      </c>
      <c r="N269" s="265">
        <f t="shared" si="70"/>
        <v>100</v>
      </c>
      <c r="O269" s="265">
        <f t="shared" si="71"/>
        <v>118.21558895705522</v>
      </c>
      <c r="P269" s="265">
        <f t="shared" si="72"/>
        <v>95.302146495870218</v>
      </c>
      <c r="Q269" s="265">
        <f t="shared" si="73"/>
        <v>39.19</v>
      </c>
      <c r="R269" s="265">
        <f t="shared" si="74"/>
        <v>124.04294478527606</v>
      </c>
    </row>
    <row r="270" spans="1:18" x14ac:dyDescent="0.2">
      <c r="A270" s="259"/>
      <c r="B270" s="260">
        <v>8</v>
      </c>
      <c r="C270" s="261">
        <v>1</v>
      </c>
      <c r="D270" s="262" t="s">
        <v>580</v>
      </c>
      <c r="E270" s="263">
        <v>360</v>
      </c>
      <c r="F270" s="264">
        <v>296</v>
      </c>
      <c r="G270" s="265"/>
      <c r="H270" s="265"/>
      <c r="I270" s="265">
        <v>9.5</v>
      </c>
      <c r="J270" s="265">
        <v>9.5</v>
      </c>
      <c r="K270" s="265">
        <f t="shared" si="67"/>
        <v>9.5</v>
      </c>
      <c r="L270" s="265">
        <v>100</v>
      </c>
      <c r="M270" s="265">
        <f t="shared" si="69"/>
        <v>0</v>
      </c>
      <c r="N270" s="265">
        <f t="shared" si="70"/>
        <v>100</v>
      </c>
      <c r="O270" s="265">
        <v>0</v>
      </c>
      <c r="P270" s="265">
        <v>0</v>
      </c>
      <c r="Q270" s="265">
        <f t="shared" si="73"/>
        <v>0</v>
      </c>
      <c r="R270" s="265">
        <v>0</v>
      </c>
    </row>
    <row r="271" spans="1:18" x14ac:dyDescent="0.2">
      <c r="A271" s="273" t="s">
        <v>428</v>
      </c>
      <c r="B271" s="274">
        <v>8</v>
      </c>
      <c r="C271" s="275">
        <v>1</v>
      </c>
      <c r="D271" s="276" t="s">
        <v>581</v>
      </c>
      <c r="E271" s="238"/>
      <c r="F271" s="239"/>
      <c r="G271" s="240">
        <f t="shared" ref="G271:J273" si="100">G272</f>
        <v>0</v>
      </c>
      <c r="H271" s="240">
        <f t="shared" si="100"/>
        <v>355.1</v>
      </c>
      <c r="I271" s="240">
        <f t="shared" si="100"/>
        <v>355.1</v>
      </c>
      <c r="J271" s="240">
        <f t="shared" si="100"/>
        <v>355.1</v>
      </c>
      <c r="K271" s="240">
        <f t="shared" si="67"/>
        <v>0</v>
      </c>
      <c r="L271" s="240">
        <f t="shared" si="68"/>
        <v>100</v>
      </c>
      <c r="M271" s="240">
        <f t="shared" si="69"/>
        <v>0</v>
      </c>
      <c r="N271" s="240">
        <f t="shared" si="70"/>
        <v>100</v>
      </c>
      <c r="O271" s="240">
        <v>0</v>
      </c>
      <c r="P271" s="240">
        <f t="shared" si="72"/>
        <v>100</v>
      </c>
      <c r="Q271" s="240">
        <f t="shared" si="73"/>
        <v>355.1</v>
      </c>
      <c r="R271" s="240">
        <v>100</v>
      </c>
    </row>
    <row r="272" spans="1:18" ht="33.75" x14ac:dyDescent="0.2">
      <c r="A272" s="277" t="s">
        <v>582</v>
      </c>
      <c r="B272" s="274">
        <v>8</v>
      </c>
      <c r="C272" s="275">
        <v>1</v>
      </c>
      <c r="D272" s="340" t="s">
        <v>583</v>
      </c>
      <c r="E272" s="238"/>
      <c r="F272" s="239"/>
      <c r="G272" s="240">
        <f t="shared" si="100"/>
        <v>0</v>
      </c>
      <c r="H272" s="240">
        <f t="shared" si="100"/>
        <v>355.1</v>
      </c>
      <c r="I272" s="240">
        <f t="shared" si="100"/>
        <v>355.1</v>
      </c>
      <c r="J272" s="240">
        <f t="shared" si="100"/>
        <v>355.1</v>
      </c>
      <c r="K272" s="240">
        <f t="shared" ref="K272:K300" si="101">I272-H272</f>
        <v>0</v>
      </c>
      <c r="L272" s="240">
        <f t="shared" ref="L272:L300" si="102">I272/H272*100</f>
        <v>100</v>
      </c>
      <c r="M272" s="240">
        <f t="shared" ref="M272:M300" si="103">I272-J272</f>
        <v>0</v>
      </c>
      <c r="N272" s="240">
        <f t="shared" ref="N272:N300" si="104">J272/I272*100</f>
        <v>100</v>
      </c>
      <c r="O272" s="240">
        <v>0</v>
      </c>
      <c r="P272" s="240">
        <f t="shared" ref="P272:P300" si="105">J272/H272*100</f>
        <v>100</v>
      </c>
      <c r="Q272" s="240">
        <f t="shared" ref="Q272:Q300" si="106">H272-G272</f>
        <v>355.1</v>
      </c>
      <c r="R272" s="240">
        <v>100</v>
      </c>
    </row>
    <row r="273" spans="1:18" ht="21" customHeight="1" x14ac:dyDescent="0.2">
      <c r="A273" s="234" t="s">
        <v>442</v>
      </c>
      <c r="B273" s="274">
        <v>8</v>
      </c>
      <c r="C273" s="275">
        <v>1</v>
      </c>
      <c r="D273" s="340" t="s">
        <v>583</v>
      </c>
      <c r="E273" s="238">
        <v>200</v>
      </c>
      <c r="F273" s="239"/>
      <c r="G273" s="240">
        <f t="shared" si="100"/>
        <v>0</v>
      </c>
      <c r="H273" s="240">
        <f t="shared" si="100"/>
        <v>355.1</v>
      </c>
      <c r="I273" s="240">
        <f t="shared" si="100"/>
        <v>355.1</v>
      </c>
      <c r="J273" s="240">
        <f t="shared" si="100"/>
        <v>355.1</v>
      </c>
      <c r="K273" s="240">
        <f t="shared" si="101"/>
        <v>0</v>
      </c>
      <c r="L273" s="240">
        <f t="shared" si="102"/>
        <v>100</v>
      </c>
      <c r="M273" s="240">
        <f t="shared" si="103"/>
        <v>0</v>
      </c>
      <c r="N273" s="240">
        <f t="shared" si="104"/>
        <v>100</v>
      </c>
      <c r="O273" s="240">
        <v>0</v>
      </c>
      <c r="P273" s="240">
        <f t="shared" si="105"/>
        <v>100</v>
      </c>
      <c r="Q273" s="240">
        <f t="shared" si="106"/>
        <v>355.1</v>
      </c>
      <c r="R273" s="240">
        <v>100</v>
      </c>
    </row>
    <row r="274" spans="1:18" ht="34.5" thickBot="1" x14ac:dyDescent="0.25">
      <c r="A274" s="259" t="s">
        <v>443</v>
      </c>
      <c r="B274" s="341">
        <v>8</v>
      </c>
      <c r="C274" s="342">
        <v>1</v>
      </c>
      <c r="D274" s="343" t="s">
        <v>583</v>
      </c>
      <c r="E274" s="263">
        <v>244</v>
      </c>
      <c r="F274" s="264">
        <v>310</v>
      </c>
      <c r="G274" s="265"/>
      <c r="H274" s="265">
        <v>355.1</v>
      </c>
      <c r="I274" s="265">
        <v>355.1</v>
      </c>
      <c r="J274" s="265">
        <v>355.1</v>
      </c>
      <c r="K274" s="265">
        <f t="shared" si="101"/>
        <v>0</v>
      </c>
      <c r="L274" s="265">
        <f t="shared" si="102"/>
        <v>100</v>
      </c>
      <c r="M274" s="265">
        <f t="shared" si="103"/>
        <v>0</v>
      </c>
      <c r="N274" s="265">
        <f t="shared" si="104"/>
        <v>100</v>
      </c>
      <c r="O274" s="265">
        <v>0</v>
      </c>
      <c r="P274" s="265">
        <f t="shared" si="105"/>
        <v>100</v>
      </c>
      <c r="Q274" s="265">
        <f t="shared" si="106"/>
        <v>355.1</v>
      </c>
      <c r="R274" s="265">
        <v>100</v>
      </c>
    </row>
    <row r="275" spans="1:18" ht="13.5" thickBot="1" x14ac:dyDescent="0.25">
      <c r="A275" s="344" t="s">
        <v>246</v>
      </c>
      <c r="B275" s="221">
        <v>10</v>
      </c>
      <c r="C275" s="222"/>
      <c r="D275" s="224"/>
      <c r="E275" s="224"/>
      <c r="F275" s="225"/>
      <c r="G275" s="226">
        <f t="shared" ref="G275:J278" si="107">G276</f>
        <v>0</v>
      </c>
      <c r="H275" s="226">
        <f t="shared" si="107"/>
        <v>39.299999999999997</v>
      </c>
      <c r="I275" s="226">
        <f t="shared" si="107"/>
        <v>39.29692</v>
      </c>
      <c r="J275" s="226">
        <f t="shared" si="107"/>
        <v>39.29692</v>
      </c>
      <c r="K275" s="226">
        <f t="shared" si="101"/>
        <v>-3.0799999999970851E-3</v>
      </c>
      <c r="L275" s="226">
        <f t="shared" si="102"/>
        <v>99.992162849872784</v>
      </c>
      <c r="M275" s="226">
        <f t="shared" si="103"/>
        <v>0</v>
      </c>
      <c r="N275" s="226">
        <f t="shared" si="104"/>
        <v>100</v>
      </c>
      <c r="O275" s="226">
        <v>0</v>
      </c>
      <c r="P275" s="226">
        <f t="shared" si="105"/>
        <v>99.992162849872784</v>
      </c>
      <c r="Q275" s="226">
        <f t="shared" si="106"/>
        <v>39.299999999999997</v>
      </c>
      <c r="R275" s="226">
        <v>100</v>
      </c>
    </row>
    <row r="276" spans="1:18" x14ac:dyDescent="0.2">
      <c r="A276" s="345" t="s">
        <v>245</v>
      </c>
      <c r="B276" s="346">
        <v>10</v>
      </c>
      <c r="C276" s="347">
        <v>1</v>
      </c>
      <c r="D276" s="348"/>
      <c r="E276" s="348"/>
      <c r="F276" s="349"/>
      <c r="G276" s="350">
        <f t="shared" si="107"/>
        <v>0</v>
      </c>
      <c r="H276" s="350">
        <f t="shared" si="107"/>
        <v>39.299999999999997</v>
      </c>
      <c r="I276" s="350">
        <f t="shared" si="107"/>
        <v>39.29692</v>
      </c>
      <c r="J276" s="350">
        <f t="shared" si="107"/>
        <v>39.29692</v>
      </c>
      <c r="K276" s="350">
        <f t="shared" si="101"/>
        <v>-3.0799999999970851E-3</v>
      </c>
      <c r="L276" s="350">
        <f t="shared" si="102"/>
        <v>99.992162849872784</v>
      </c>
      <c r="M276" s="350">
        <f t="shared" si="103"/>
        <v>0</v>
      </c>
      <c r="N276" s="350">
        <f t="shared" si="104"/>
        <v>100</v>
      </c>
      <c r="O276" s="350">
        <v>0</v>
      </c>
      <c r="P276" s="350">
        <f t="shared" si="105"/>
        <v>99.992162849872784</v>
      </c>
      <c r="Q276" s="350">
        <f t="shared" si="106"/>
        <v>39.299999999999997</v>
      </c>
      <c r="R276" s="350">
        <v>100</v>
      </c>
    </row>
    <row r="277" spans="1:18" ht="23.25" customHeight="1" x14ac:dyDescent="0.2">
      <c r="A277" s="234" t="s">
        <v>584</v>
      </c>
      <c r="B277" s="235">
        <v>10</v>
      </c>
      <c r="C277" s="236">
        <v>1</v>
      </c>
      <c r="D277" s="237" t="s">
        <v>585</v>
      </c>
      <c r="E277" s="238"/>
      <c r="F277" s="239"/>
      <c r="G277" s="240">
        <f t="shared" si="107"/>
        <v>0</v>
      </c>
      <c r="H277" s="240">
        <f t="shared" si="107"/>
        <v>39.299999999999997</v>
      </c>
      <c r="I277" s="240">
        <f t="shared" si="107"/>
        <v>39.29692</v>
      </c>
      <c r="J277" s="240">
        <f t="shared" si="107"/>
        <v>39.29692</v>
      </c>
      <c r="K277" s="240">
        <f t="shared" si="101"/>
        <v>-3.0799999999970851E-3</v>
      </c>
      <c r="L277" s="240">
        <f t="shared" si="102"/>
        <v>99.992162849872784</v>
      </c>
      <c r="M277" s="240">
        <f t="shared" si="103"/>
        <v>0</v>
      </c>
      <c r="N277" s="240">
        <f t="shared" si="104"/>
        <v>100</v>
      </c>
      <c r="O277" s="240">
        <v>0</v>
      </c>
      <c r="P277" s="240">
        <f t="shared" si="105"/>
        <v>99.992162849872784</v>
      </c>
      <c r="Q277" s="240">
        <f t="shared" si="106"/>
        <v>39.299999999999997</v>
      </c>
      <c r="R277" s="240">
        <v>100</v>
      </c>
    </row>
    <row r="278" spans="1:18" ht="24" customHeight="1" x14ac:dyDescent="0.2">
      <c r="A278" s="258" t="s">
        <v>452</v>
      </c>
      <c r="B278" s="235">
        <v>10</v>
      </c>
      <c r="C278" s="236">
        <v>1</v>
      </c>
      <c r="D278" s="237" t="s">
        <v>585</v>
      </c>
      <c r="E278" s="238">
        <v>300</v>
      </c>
      <c r="F278" s="239"/>
      <c r="G278" s="240">
        <f t="shared" si="107"/>
        <v>0</v>
      </c>
      <c r="H278" s="240">
        <f t="shared" si="107"/>
        <v>39.299999999999997</v>
      </c>
      <c r="I278" s="240">
        <f t="shared" si="107"/>
        <v>39.29692</v>
      </c>
      <c r="J278" s="240">
        <f t="shared" si="107"/>
        <v>39.29692</v>
      </c>
      <c r="K278" s="240">
        <f t="shared" si="101"/>
        <v>-3.0799999999970851E-3</v>
      </c>
      <c r="L278" s="240">
        <f t="shared" si="102"/>
        <v>99.992162849872784</v>
      </c>
      <c r="M278" s="240">
        <f t="shared" si="103"/>
        <v>0</v>
      </c>
      <c r="N278" s="240">
        <f t="shared" si="104"/>
        <v>100</v>
      </c>
      <c r="O278" s="240">
        <v>0</v>
      </c>
      <c r="P278" s="240">
        <f t="shared" si="105"/>
        <v>99.992162849872784</v>
      </c>
      <c r="Q278" s="240">
        <f t="shared" si="106"/>
        <v>39.299999999999997</v>
      </c>
      <c r="R278" s="240">
        <v>100</v>
      </c>
    </row>
    <row r="279" spans="1:18" ht="24.75" customHeight="1" thickBot="1" x14ac:dyDescent="0.25">
      <c r="A279" s="259" t="s">
        <v>586</v>
      </c>
      <c r="B279" s="260">
        <v>10</v>
      </c>
      <c r="C279" s="261">
        <v>1</v>
      </c>
      <c r="D279" s="262" t="s">
        <v>585</v>
      </c>
      <c r="E279" s="263">
        <v>312</v>
      </c>
      <c r="F279" s="264">
        <v>263</v>
      </c>
      <c r="G279" s="265"/>
      <c r="H279" s="265">
        <v>39.299999999999997</v>
      </c>
      <c r="I279" s="265">
        <v>39.29692</v>
      </c>
      <c r="J279" s="265">
        <v>39.29692</v>
      </c>
      <c r="K279" s="265">
        <f t="shared" si="101"/>
        <v>-3.0799999999970851E-3</v>
      </c>
      <c r="L279" s="265">
        <f t="shared" si="102"/>
        <v>99.992162849872784</v>
      </c>
      <c r="M279" s="265">
        <f t="shared" si="103"/>
        <v>0</v>
      </c>
      <c r="N279" s="265">
        <f t="shared" si="104"/>
        <v>100</v>
      </c>
      <c r="O279" s="265">
        <v>0</v>
      </c>
      <c r="P279" s="265">
        <f t="shared" si="105"/>
        <v>99.992162849872784</v>
      </c>
      <c r="Q279" s="265">
        <f t="shared" si="106"/>
        <v>39.299999999999997</v>
      </c>
      <c r="R279" s="265">
        <v>100</v>
      </c>
    </row>
    <row r="280" spans="1:18" ht="13.5" thickBot="1" x14ac:dyDescent="0.25">
      <c r="A280" s="344" t="s">
        <v>243</v>
      </c>
      <c r="B280" s="221">
        <v>11</v>
      </c>
      <c r="C280" s="222"/>
      <c r="D280" s="224"/>
      <c r="E280" s="224"/>
      <c r="F280" s="225"/>
      <c r="G280" s="226">
        <f>G281</f>
        <v>4627</v>
      </c>
      <c r="H280" s="226">
        <f>H281</f>
        <v>5405.85</v>
      </c>
      <c r="I280" s="226">
        <f t="shared" ref="I280:J280" si="108">I281</f>
        <v>5405.8468200000007</v>
      </c>
      <c r="J280" s="226">
        <f t="shared" si="108"/>
        <v>5405.8468200000007</v>
      </c>
      <c r="K280" s="226">
        <f t="shared" si="101"/>
        <v>-3.1799999997019768E-3</v>
      </c>
      <c r="L280" s="226">
        <f t="shared" si="102"/>
        <v>99.999941174838384</v>
      </c>
      <c r="M280" s="226">
        <f t="shared" si="103"/>
        <v>0</v>
      </c>
      <c r="N280" s="226">
        <f t="shared" si="104"/>
        <v>100</v>
      </c>
      <c r="O280" s="226">
        <f t="shared" ref="O280:O300" si="109">J280/G280*100</f>
        <v>116.83265225848282</v>
      </c>
      <c r="P280" s="226">
        <f t="shared" si="105"/>
        <v>99.999941174838384</v>
      </c>
      <c r="Q280" s="226">
        <f t="shared" si="106"/>
        <v>778.85000000000036</v>
      </c>
      <c r="R280" s="226">
        <f t="shared" ref="R280:R300" si="110">H280/G280*100</f>
        <v>116.83272098551979</v>
      </c>
    </row>
    <row r="281" spans="1:18" x14ac:dyDescent="0.2">
      <c r="A281" s="345" t="s">
        <v>587</v>
      </c>
      <c r="B281" s="346">
        <v>11</v>
      </c>
      <c r="C281" s="347">
        <v>1</v>
      </c>
      <c r="D281" s="348"/>
      <c r="E281" s="348"/>
      <c r="F281" s="349"/>
      <c r="G281" s="350">
        <f>G282+G288</f>
        <v>4627</v>
      </c>
      <c r="H281" s="350">
        <f>H282+H288</f>
        <v>5405.85</v>
      </c>
      <c r="I281" s="350">
        <f t="shared" ref="I281:J281" si="111">I282+I288</f>
        <v>5405.8468200000007</v>
      </c>
      <c r="J281" s="350">
        <f t="shared" si="111"/>
        <v>5405.8468200000007</v>
      </c>
      <c r="K281" s="350">
        <f t="shared" si="101"/>
        <v>-3.1799999997019768E-3</v>
      </c>
      <c r="L281" s="350">
        <f t="shared" si="102"/>
        <v>99.999941174838384</v>
      </c>
      <c r="M281" s="350">
        <f t="shared" si="103"/>
        <v>0</v>
      </c>
      <c r="N281" s="350">
        <f t="shared" si="104"/>
        <v>100</v>
      </c>
      <c r="O281" s="350">
        <f t="shared" si="109"/>
        <v>116.83265225848282</v>
      </c>
      <c r="P281" s="350">
        <f t="shared" si="105"/>
        <v>99.999941174838384</v>
      </c>
      <c r="Q281" s="350">
        <f t="shared" si="106"/>
        <v>778.85000000000036</v>
      </c>
      <c r="R281" s="350">
        <f t="shared" si="110"/>
        <v>116.83272098551979</v>
      </c>
    </row>
    <row r="282" spans="1:18" ht="31.5" x14ac:dyDescent="0.2">
      <c r="A282" s="351" t="s">
        <v>588</v>
      </c>
      <c r="B282" s="242">
        <v>11</v>
      </c>
      <c r="C282" s="243">
        <v>1</v>
      </c>
      <c r="D282" s="352" t="s">
        <v>589</v>
      </c>
      <c r="E282" s="245"/>
      <c r="F282" s="246"/>
      <c r="G282" s="247">
        <f>G283</f>
        <v>35</v>
      </c>
      <c r="H282" s="247">
        <f>H283</f>
        <v>35</v>
      </c>
      <c r="I282" s="247">
        <f t="shared" ref="I282:J282" si="112">I283</f>
        <v>35</v>
      </c>
      <c r="J282" s="247">
        <f t="shared" si="112"/>
        <v>35</v>
      </c>
      <c r="K282" s="247">
        <f t="shared" si="101"/>
        <v>0</v>
      </c>
      <c r="L282" s="247">
        <f t="shared" si="102"/>
        <v>100</v>
      </c>
      <c r="M282" s="247">
        <f t="shared" si="103"/>
        <v>0</v>
      </c>
      <c r="N282" s="247">
        <f t="shared" si="104"/>
        <v>100</v>
      </c>
      <c r="O282" s="247">
        <f t="shared" si="109"/>
        <v>100</v>
      </c>
      <c r="P282" s="247">
        <f t="shared" si="105"/>
        <v>100</v>
      </c>
      <c r="Q282" s="247">
        <f t="shared" si="106"/>
        <v>0</v>
      </c>
      <c r="R282" s="247">
        <f t="shared" si="110"/>
        <v>100</v>
      </c>
    </row>
    <row r="283" spans="1:18" ht="24.75" customHeight="1" x14ac:dyDescent="0.2">
      <c r="A283" s="277" t="s">
        <v>590</v>
      </c>
      <c r="B283" s="235">
        <v>11</v>
      </c>
      <c r="C283" s="236">
        <v>1</v>
      </c>
      <c r="D283" s="340" t="s">
        <v>591</v>
      </c>
      <c r="E283" s="238"/>
      <c r="F283" s="239"/>
      <c r="G283" s="240">
        <f>G285</f>
        <v>35</v>
      </c>
      <c r="H283" s="240">
        <f>H285</f>
        <v>35</v>
      </c>
      <c r="I283" s="240">
        <f t="shared" ref="I283:J283" si="113">I285</f>
        <v>35</v>
      </c>
      <c r="J283" s="240">
        <f t="shared" si="113"/>
        <v>35</v>
      </c>
      <c r="K283" s="240">
        <f t="shared" si="101"/>
        <v>0</v>
      </c>
      <c r="L283" s="240">
        <f t="shared" si="102"/>
        <v>100</v>
      </c>
      <c r="M283" s="240">
        <f t="shared" si="103"/>
        <v>0</v>
      </c>
      <c r="N283" s="240">
        <f t="shared" si="104"/>
        <v>100</v>
      </c>
      <c r="O283" s="240">
        <f t="shared" si="109"/>
        <v>100</v>
      </c>
      <c r="P283" s="240">
        <f t="shared" si="105"/>
        <v>100</v>
      </c>
      <c r="Q283" s="240">
        <f t="shared" si="106"/>
        <v>0</v>
      </c>
      <c r="R283" s="240">
        <f t="shared" si="110"/>
        <v>100</v>
      </c>
    </row>
    <row r="284" spans="1:18" ht="33.75" x14ac:dyDescent="0.2">
      <c r="A284" s="277" t="s">
        <v>592</v>
      </c>
      <c r="B284" s="235">
        <v>11</v>
      </c>
      <c r="C284" s="236">
        <v>1</v>
      </c>
      <c r="D284" s="340" t="s">
        <v>593</v>
      </c>
      <c r="E284" s="238"/>
      <c r="F284" s="239"/>
      <c r="G284" s="240">
        <f t="shared" ref="G284:J286" si="114">G285</f>
        <v>35</v>
      </c>
      <c r="H284" s="240">
        <f t="shared" si="114"/>
        <v>35</v>
      </c>
      <c r="I284" s="240">
        <f t="shared" si="114"/>
        <v>35</v>
      </c>
      <c r="J284" s="240">
        <f t="shared" si="114"/>
        <v>35</v>
      </c>
      <c r="K284" s="240">
        <f t="shared" si="101"/>
        <v>0</v>
      </c>
      <c r="L284" s="240">
        <f t="shared" si="102"/>
        <v>100</v>
      </c>
      <c r="M284" s="240">
        <f t="shared" si="103"/>
        <v>0</v>
      </c>
      <c r="N284" s="240">
        <f t="shared" si="104"/>
        <v>100</v>
      </c>
      <c r="O284" s="240">
        <f t="shared" si="109"/>
        <v>100</v>
      </c>
      <c r="P284" s="240">
        <f t="shared" si="105"/>
        <v>100</v>
      </c>
      <c r="Q284" s="240">
        <f t="shared" si="106"/>
        <v>0</v>
      </c>
      <c r="R284" s="240">
        <f t="shared" si="110"/>
        <v>100</v>
      </c>
    </row>
    <row r="285" spans="1:18" x14ac:dyDescent="0.2">
      <c r="A285" s="277" t="s">
        <v>594</v>
      </c>
      <c r="B285" s="235">
        <v>11</v>
      </c>
      <c r="C285" s="236">
        <v>1</v>
      </c>
      <c r="D285" s="340" t="s">
        <v>595</v>
      </c>
      <c r="E285" s="238"/>
      <c r="F285" s="239"/>
      <c r="G285" s="240">
        <f t="shared" si="114"/>
        <v>35</v>
      </c>
      <c r="H285" s="240">
        <f t="shared" si="114"/>
        <v>35</v>
      </c>
      <c r="I285" s="240">
        <f t="shared" si="114"/>
        <v>35</v>
      </c>
      <c r="J285" s="240">
        <f t="shared" si="114"/>
        <v>35</v>
      </c>
      <c r="K285" s="240">
        <f t="shared" si="101"/>
        <v>0</v>
      </c>
      <c r="L285" s="240">
        <f t="shared" si="102"/>
        <v>100</v>
      </c>
      <c r="M285" s="240">
        <f t="shared" si="103"/>
        <v>0</v>
      </c>
      <c r="N285" s="240">
        <f t="shared" si="104"/>
        <v>100</v>
      </c>
      <c r="O285" s="240">
        <f t="shared" si="109"/>
        <v>100</v>
      </c>
      <c r="P285" s="240">
        <f t="shared" si="105"/>
        <v>100</v>
      </c>
      <c r="Q285" s="240">
        <f t="shared" si="106"/>
        <v>0</v>
      </c>
      <c r="R285" s="240">
        <f t="shared" si="110"/>
        <v>100</v>
      </c>
    </row>
    <row r="286" spans="1:18" ht="21.75" customHeight="1" x14ac:dyDescent="0.2">
      <c r="A286" s="234" t="s">
        <v>442</v>
      </c>
      <c r="B286" s="235">
        <v>11</v>
      </c>
      <c r="C286" s="236">
        <v>1</v>
      </c>
      <c r="D286" s="340" t="s">
        <v>595</v>
      </c>
      <c r="E286" s="238">
        <v>200</v>
      </c>
      <c r="F286" s="239"/>
      <c r="G286" s="240">
        <f t="shared" si="114"/>
        <v>35</v>
      </c>
      <c r="H286" s="240">
        <f t="shared" si="114"/>
        <v>35</v>
      </c>
      <c r="I286" s="240">
        <f t="shared" si="114"/>
        <v>35</v>
      </c>
      <c r="J286" s="240">
        <f t="shared" si="114"/>
        <v>35</v>
      </c>
      <c r="K286" s="240">
        <f t="shared" si="101"/>
        <v>0</v>
      </c>
      <c r="L286" s="240">
        <f t="shared" si="102"/>
        <v>100</v>
      </c>
      <c r="M286" s="240">
        <f t="shared" si="103"/>
        <v>0</v>
      </c>
      <c r="N286" s="240">
        <f t="shared" si="104"/>
        <v>100</v>
      </c>
      <c r="O286" s="240">
        <f t="shared" si="109"/>
        <v>100</v>
      </c>
      <c r="P286" s="240">
        <f t="shared" si="105"/>
        <v>100</v>
      </c>
      <c r="Q286" s="240">
        <f t="shared" si="106"/>
        <v>0</v>
      </c>
      <c r="R286" s="240">
        <f t="shared" si="110"/>
        <v>100</v>
      </c>
    </row>
    <row r="287" spans="1:18" ht="33.75" x14ac:dyDescent="0.2">
      <c r="A287" s="234" t="s">
        <v>443</v>
      </c>
      <c r="B287" s="235">
        <v>11</v>
      </c>
      <c r="C287" s="236">
        <v>1</v>
      </c>
      <c r="D287" s="340" t="s">
        <v>595</v>
      </c>
      <c r="E287" s="238">
        <v>244</v>
      </c>
      <c r="F287" s="239">
        <v>340</v>
      </c>
      <c r="G287" s="240">
        <v>35</v>
      </c>
      <c r="H287" s="240">
        <v>35</v>
      </c>
      <c r="I287" s="240">
        <v>35</v>
      </c>
      <c r="J287" s="240">
        <v>35</v>
      </c>
      <c r="K287" s="240">
        <f t="shared" si="101"/>
        <v>0</v>
      </c>
      <c r="L287" s="240">
        <f t="shared" si="102"/>
        <v>100</v>
      </c>
      <c r="M287" s="240">
        <f t="shared" si="103"/>
        <v>0</v>
      </c>
      <c r="N287" s="240">
        <f t="shared" si="104"/>
        <v>100</v>
      </c>
      <c r="O287" s="240">
        <f t="shared" si="109"/>
        <v>100</v>
      </c>
      <c r="P287" s="240">
        <f t="shared" si="105"/>
        <v>100</v>
      </c>
      <c r="Q287" s="240">
        <f t="shared" si="106"/>
        <v>0</v>
      </c>
      <c r="R287" s="240">
        <f t="shared" si="110"/>
        <v>100</v>
      </c>
    </row>
    <row r="288" spans="1:18" x14ac:dyDescent="0.2">
      <c r="A288" s="273" t="s">
        <v>428</v>
      </c>
      <c r="B288" s="235">
        <v>11</v>
      </c>
      <c r="C288" s="331" t="s">
        <v>241</v>
      </c>
      <c r="D288" s="238" t="s">
        <v>429</v>
      </c>
      <c r="E288" s="238"/>
      <c r="F288" s="239"/>
      <c r="G288" s="240">
        <f>G289+G295</f>
        <v>4592</v>
      </c>
      <c r="H288" s="240">
        <f>H289+H295</f>
        <v>5370.85</v>
      </c>
      <c r="I288" s="240">
        <f t="shared" ref="I288:J288" si="115">I289+I295</f>
        <v>5370.8468200000007</v>
      </c>
      <c r="J288" s="240">
        <f t="shared" si="115"/>
        <v>5370.8468200000007</v>
      </c>
      <c r="K288" s="240">
        <f t="shared" si="101"/>
        <v>-3.1799999997019768E-3</v>
      </c>
      <c r="L288" s="240">
        <f t="shared" si="102"/>
        <v>99.999940791494836</v>
      </c>
      <c r="M288" s="240">
        <f t="shared" si="103"/>
        <v>0</v>
      </c>
      <c r="N288" s="240">
        <f t="shared" si="104"/>
        <v>100</v>
      </c>
      <c r="O288" s="240">
        <f t="shared" si="109"/>
        <v>116.960949912892</v>
      </c>
      <c r="P288" s="240">
        <f t="shared" si="105"/>
        <v>99.999940791494836</v>
      </c>
      <c r="Q288" s="240">
        <f t="shared" si="106"/>
        <v>778.85000000000036</v>
      </c>
      <c r="R288" s="240">
        <f t="shared" si="110"/>
        <v>116.96101916376307</v>
      </c>
    </row>
    <row r="289" spans="1:18" ht="21.75" customHeight="1" x14ac:dyDescent="0.2">
      <c r="A289" s="353" t="s">
        <v>596</v>
      </c>
      <c r="B289" s="235">
        <v>11</v>
      </c>
      <c r="C289" s="236">
        <v>1</v>
      </c>
      <c r="D289" s="238" t="s">
        <v>581</v>
      </c>
      <c r="E289" s="238"/>
      <c r="F289" s="239"/>
      <c r="G289" s="240">
        <f t="shared" ref="G289:J291" si="116">G290</f>
        <v>4573</v>
      </c>
      <c r="H289" s="240">
        <f t="shared" si="116"/>
        <v>5351.13</v>
      </c>
      <c r="I289" s="240">
        <f t="shared" si="116"/>
        <v>5351.1228200000005</v>
      </c>
      <c r="J289" s="240">
        <f t="shared" si="116"/>
        <v>5351.1228200000005</v>
      </c>
      <c r="K289" s="240">
        <f t="shared" si="101"/>
        <v>-7.1799999996073893E-3</v>
      </c>
      <c r="L289" s="240">
        <f t="shared" si="102"/>
        <v>99.999865822732787</v>
      </c>
      <c r="M289" s="240">
        <f t="shared" si="103"/>
        <v>0</v>
      </c>
      <c r="N289" s="240">
        <f t="shared" si="104"/>
        <v>100</v>
      </c>
      <c r="O289" s="240">
        <f t="shared" si="109"/>
        <v>117.01558757926963</v>
      </c>
      <c r="P289" s="240">
        <f t="shared" si="105"/>
        <v>99.999865822732787</v>
      </c>
      <c r="Q289" s="240">
        <f t="shared" si="106"/>
        <v>778.13000000000011</v>
      </c>
      <c r="R289" s="240">
        <f t="shared" si="110"/>
        <v>117.01574458779795</v>
      </c>
    </row>
    <row r="290" spans="1:18" ht="22.5" x14ac:dyDescent="0.2">
      <c r="A290" s="354" t="s">
        <v>577</v>
      </c>
      <c r="B290" s="242">
        <v>11</v>
      </c>
      <c r="C290" s="243">
        <v>1</v>
      </c>
      <c r="D290" s="245" t="s">
        <v>597</v>
      </c>
      <c r="E290" s="245"/>
      <c r="F290" s="246"/>
      <c r="G290" s="247">
        <f t="shared" si="116"/>
        <v>4573</v>
      </c>
      <c r="H290" s="247">
        <f t="shared" si="116"/>
        <v>5351.13</v>
      </c>
      <c r="I290" s="247">
        <f t="shared" si="116"/>
        <v>5351.1228200000005</v>
      </c>
      <c r="J290" s="247">
        <f t="shared" si="116"/>
        <v>5351.1228200000005</v>
      </c>
      <c r="K290" s="247">
        <f t="shared" si="101"/>
        <v>-7.1799999996073893E-3</v>
      </c>
      <c r="L290" s="247">
        <f t="shared" si="102"/>
        <v>99.999865822732787</v>
      </c>
      <c r="M290" s="247">
        <f t="shared" si="103"/>
        <v>0</v>
      </c>
      <c r="N290" s="247">
        <f t="shared" si="104"/>
        <v>100</v>
      </c>
      <c r="O290" s="247">
        <f t="shared" si="109"/>
        <v>117.01558757926963</v>
      </c>
      <c r="P290" s="247">
        <f t="shared" si="105"/>
        <v>99.999865822732787</v>
      </c>
      <c r="Q290" s="247">
        <f t="shared" si="106"/>
        <v>778.13000000000011</v>
      </c>
      <c r="R290" s="247">
        <f t="shared" si="110"/>
        <v>117.01574458779795</v>
      </c>
    </row>
    <row r="291" spans="1:18" ht="41.25" customHeight="1" x14ac:dyDescent="0.2">
      <c r="A291" s="248" t="s">
        <v>434</v>
      </c>
      <c r="B291" s="235">
        <v>11</v>
      </c>
      <c r="C291" s="236">
        <v>1</v>
      </c>
      <c r="D291" s="238" t="s">
        <v>597</v>
      </c>
      <c r="E291" s="238">
        <v>100</v>
      </c>
      <c r="F291" s="239"/>
      <c r="G291" s="240">
        <f t="shared" si="116"/>
        <v>4573</v>
      </c>
      <c r="H291" s="240">
        <f t="shared" si="116"/>
        <v>5351.13</v>
      </c>
      <c r="I291" s="240">
        <f t="shared" si="116"/>
        <v>5351.1228200000005</v>
      </c>
      <c r="J291" s="240">
        <f t="shared" si="116"/>
        <v>5351.1228200000005</v>
      </c>
      <c r="K291" s="240">
        <f t="shared" si="101"/>
        <v>-7.1799999996073893E-3</v>
      </c>
      <c r="L291" s="240">
        <f t="shared" si="102"/>
        <v>99.999865822732787</v>
      </c>
      <c r="M291" s="240">
        <f t="shared" si="103"/>
        <v>0</v>
      </c>
      <c r="N291" s="240">
        <f t="shared" si="104"/>
        <v>100</v>
      </c>
      <c r="O291" s="240">
        <f t="shared" si="109"/>
        <v>117.01558757926963</v>
      </c>
      <c r="P291" s="240">
        <f t="shared" si="105"/>
        <v>99.999865822732787</v>
      </c>
      <c r="Q291" s="240">
        <f t="shared" si="106"/>
        <v>778.13000000000011</v>
      </c>
      <c r="R291" s="240">
        <f t="shared" si="110"/>
        <v>117.01574458779795</v>
      </c>
    </row>
    <row r="292" spans="1:18" ht="23.25" customHeight="1" x14ac:dyDescent="0.2">
      <c r="A292" s="234" t="s">
        <v>598</v>
      </c>
      <c r="B292" s="235">
        <v>11</v>
      </c>
      <c r="C292" s="236">
        <v>1</v>
      </c>
      <c r="D292" s="238" t="s">
        <v>597</v>
      </c>
      <c r="E292" s="238">
        <v>110</v>
      </c>
      <c r="F292" s="239"/>
      <c r="G292" s="240">
        <v>4573</v>
      </c>
      <c r="H292" s="240">
        <v>5351.13</v>
      </c>
      <c r="I292" s="240">
        <f>I293+I294</f>
        <v>5351.1228200000005</v>
      </c>
      <c r="J292" s="240">
        <f>J293+J294</f>
        <v>5351.1228200000005</v>
      </c>
      <c r="K292" s="240">
        <f t="shared" si="101"/>
        <v>-7.1799999996073893E-3</v>
      </c>
      <c r="L292" s="240">
        <f t="shared" si="102"/>
        <v>99.999865822732787</v>
      </c>
      <c r="M292" s="240">
        <f t="shared" si="103"/>
        <v>0</v>
      </c>
      <c r="N292" s="240">
        <f t="shared" si="104"/>
        <v>100</v>
      </c>
      <c r="O292" s="240">
        <f t="shared" si="109"/>
        <v>117.01558757926963</v>
      </c>
      <c r="P292" s="240">
        <f t="shared" si="105"/>
        <v>99.999865822732787</v>
      </c>
      <c r="Q292" s="240">
        <f t="shared" si="106"/>
        <v>778.13000000000011</v>
      </c>
      <c r="R292" s="240">
        <f t="shared" si="110"/>
        <v>117.01574458779795</v>
      </c>
    </row>
    <row r="293" spans="1:18" ht="15" customHeight="1" x14ac:dyDescent="0.2">
      <c r="A293" s="234"/>
      <c r="B293" s="235">
        <v>11</v>
      </c>
      <c r="C293" s="236">
        <v>1</v>
      </c>
      <c r="D293" s="238" t="s">
        <v>597</v>
      </c>
      <c r="E293" s="238">
        <v>111</v>
      </c>
      <c r="F293" s="239">
        <v>211</v>
      </c>
      <c r="G293" s="240"/>
      <c r="H293" s="240"/>
      <c r="I293" s="240">
        <v>4129.5478700000003</v>
      </c>
      <c r="J293" s="240">
        <v>4129.5478700000003</v>
      </c>
      <c r="K293" s="240"/>
      <c r="L293" s="240"/>
      <c r="M293" s="240">
        <f t="shared" si="103"/>
        <v>0</v>
      </c>
      <c r="N293" s="240"/>
      <c r="O293" s="240"/>
      <c r="P293" s="240"/>
      <c r="Q293" s="240"/>
      <c r="R293" s="240"/>
    </row>
    <row r="294" spans="1:18" ht="15.75" customHeight="1" x14ac:dyDescent="0.2">
      <c r="A294" s="234"/>
      <c r="B294" s="235">
        <v>11</v>
      </c>
      <c r="C294" s="236">
        <v>1</v>
      </c>
      <c r="D294" s="238" t="s">
        <v>597</v>
      </c>
      <c r="E294" s="238">
        <v>119</v>
      </c>
      <c r="F294" s="239">
        <v>213</v>
      </c>
      <c r="G294" s="240"/>
      <c r="H294" s="240"/>
      <c r="I294" s="240">
        <v>1221.5749499999999</v>
      </c>
      <c r="J294" s="240">
        <v>1221.5749499999999</v>
      </c>
      <c r="K294" s="240"/>
      <c r="L294" s="240"/>
      <c r="M294" s="240">
        <f t="shared" si="103"/>
        <v>0</v>
      </c>
      <c r="N294" s="240"/>
      <c r="O294" s="240"/>
      <c r="P294" s="240"/>
      <c r="Q294" s="240"/>
      <c r="R294" s="240"/>
    </row>
    <row r="295" spans="1:18" ht="23.25" customHeight="1" x14ac:dyDescent="0.2">
      <c r="A295" s="241" t="s">
        <v>599</v>
      </c>
      <c r="B295" s="242">
        <v>11</v>
      </c>
      <c r="C295" s="243">
        <v>1</v>
      </c>
      <c r="D295" s="245" t="s">
        <v>600</v>
      </c>
      <c r="E295" s="245"/>
      <c r="F295" s="246"/>
      <c r="G295" s="247">
        <f>G296</f>
        <v>19</v>
      </c>
      <c r="H295" s="247">
        <f>H296</f>
        <v>19.72</v>
      </c>
      <c r="I295" s="247">
        <f t="shared" ref="I295:J296" si="117">I296</f>
        <v>19.724</v>
      </c>
      <c r="J295" s="247">
        <f t="shared" si="117"/>
        <v>19.724</v>
      </c>
      <c r="K295" s="247">
        <f t="shared" si="101"/>
        <v>4.0000000000013358E-3</v>
      </c>
      <c r="L295" s="247">
        <f t="shared" si="102"/>
        <v>100.02028397565923</v>
      </c>
      <c r="M295" s="247">
        <f t="shared" si="103"/>
        <v>0</v>
      </c>
      <c r="N295" s="247">
        <f t="shared" si="104"/>
        <v>100</v>
      </c>
      <c r="O295" s="247">
        <f t="shared" si="109"/>
        <v>103.81052631578946</v>
      </c>
      <c r="P295" s="247">
        <f t="shared" si="105"/>
        <v>100.02028397565923</v>
      </c>
      <c r="Q295" s="247">
        <f t="shared" si="106"/>
        <v>0.71999999999999886</v>
      </c>
      <c r="R295" s="247">
        <f t="shared" si="110"/>
        <v>103.78947368421052</v>
      </c>
    </row>
    <row r="296" spans="1:18" ht="27" customHeight="1" x14ac:dyDescent="0.2">
      <c r="A296" s="234" t="s">
        <v>442</v>
      </c>
      <c r="B296" s="235">
        <v>11</v>
      </c>
      <c r="C296" s="236">
        <v>1</v>
      </c>
      <c r="D296" s="238" t="s">
        <v>600</v>
      </c>
      <c r="E296" s="238">
        <v>200</v>
      </c>
      <c r="F296" s="239"/>
      <c r="G296" s="240">
        <f>G297</f>
        <v>19</v>
      </c>
      <c r="H296" s="240">
        <f>H297</f>
        <v>19.72</v>
      </c>
      <c r="I296" s="240">
        <f t="shared" si="117"/>
        <v>19.724</v>
      </c>
      <c r="J296" s="240">
        <f t="shared" si="117"/>
        <v>19.724</v>
      </c>
      <c r="K296" s="240">
        <f t="shared" si="101"/>
        <v>4.0000000000013358E-3</v>
      </c>
      <c r="L296" s="240">
        <f t="shared" si="102"/>
        <v>100.02028397565923</v>
      </c>
      <c r="M296" s="240">
        <f t="shared" si="103"/>
        <v>0</v>
      </c>
      <c r="N296" s="240">
        <f t="shared" si="104"/>
        <v>100</v>
      </c>
      <c r="O296" s="240">
        <f t="shared" si="109"/>
        <v>103.81052631578946</v>
      </c>
      <c r="P296" s="240">
        <f t="shared" si="105"/>
        <v>100.02028397565923</v>
      </c>
      <c r="Q296" s="240">
        <f t="shared" si="106"/>
        <v>0.71999999999999886</v>
      </c>
      <c r="R296" s="240">
        <f t="shared" si="110"/>
        <v>103.78947368421052</v>
      </c>
    </row>
    <row r="297" spans="1:18" ht="36" customHeight="1" x14ac:dyDescent="0.2">
      <c r="A297" s="234" t="s">
        <v>443</v>
      </c>
      <c r="B297" s="235">
        <v>11</v>
      </c>
      <c r="C297" s="236">
        <v>1</v>
      </c>
      <c r="D297" s="238" t="s">
        <v>600</v>
      </c>
      <c r="E297" s="238">
        <v>240</v>
      </c>
      <c r="F297" s="239"/>
      <c r="G297" s="240">
        <v>19</v>
      </c>
      <c r="H297" s="240">
        <v>19.72</v>
      </c>
      <c r="I297" s="240">
        <f>I298+I299</f>
        <v>19.724</v>
      </c>
      <c r="J297" s="240">
        <f>J298+J299</f>
        <v>19.724</v>
      </c>
      <c r="K297" s="240">
        <f t="shared" si="101"/>
        <v>4.0000000000013358E-3</v>
      </c>
      <c r="L297" s="240">
        <f t="shared" si="102"/>
        <v>100.02028397565923</v>
      </c>
      <c r="M297" s="240">
        <f>I297-J297</f>
        <v>0</v>
      </c>
      <c r="N297" s="240">
        <f t="shared" si="104"/>
        <v>100</v>
      </c>
      <c r="O297" s="240">
        <f t="shared" si="109"/>
        <v>103.81052631578946</v>
      </c>
      <c r="P297" s="240">
        <f t="shared" si="105"/>
        <v>100.02028397565923</v>
      </c>
      <c r="Q297" s="240">
        <f t="shared" si="106"/>
        <v>0.71999999999999886</v>
      </c>
      <c r="R297" s="240">
        <f t="shared" si="110"/>
        <v>103.78947368421052</v>
      </c>
    </row>
    <row r="298" spans="1:18" ht="15" customHeight="1" x14ac:dyDescent="0.2">
      <c r="A298" s="234"/>
      <c r="B298" s="235">
        <v>11</v>
      </c>
      <c r="C298" s="236">
        <v>1</v>
      </c>
      <c r="D298" s="238" t="s">
        <v>600</v>
      </c>
      <c r="E298" s="238">
        <v>244</v>
      </c>
      <c r="F298" s="239">
        <v>296</v>
      </c>
      <c r="G298" s="240"/>
      <c r="H298" s="240"/>
      <c r="I298" s="240">
        <v>15</v>
      </c>
      <c r="J298" s="240">
        <v>15</v>
      </c>
      <c r="K298" s="240"/>
      <c r="L298" s="240"/>
      <c r="M298" s="240">
        <f t="shared" ref="M298:M299" si="118">I298-J298</f>
        <v>0</v>
      </c>
      <c r="N298" s="240"/>
      <c r="O298" s="240"/>
      <c r="P298" s="240"/>
      <c r="Q298" s="240"/>
      <c r="R298" s="240"/>
    </row>
    <row r="299" spans="1:18" ht="15" customHeight="1" x14ac:dyDescent="0.2">
      <c r="A299" s="234"/>
      <c r="B299" s="235">
        <v>11</v>
      </c>
      <c r="C299" s="236">
        <v>1</v>
      </c>
      <c r="D299" s="238" t="s">
        <v>600</v>
      </c>
      <c r="E299" s="238">
        <v>244</v>
      </c>
      <c r="F299" s="239">
        <v>340</v>
      </c>
      <c r="G299" s="240"/>
      <c r="H299" s="240"/>
      <c r="I299" s="240">
        <v>4.7240000000000002</v>
      </c>
      <c r="J299" s="240">
        <v>4.7240000000000002</v>
      </c>
      <c r="K299" s="240"/>
      <c r="L299" s="240"/>
      <c r="M299" s="240">
        <f t="shared" si="118"/>
        <v>0</v>
      </c>
      <c r="N299" s="240"/>
      <c r="O299" s="240"/>
      <c r="P299" s="240"/>
      <c r="Q299" s="240"/>
      <c r="R299" s="240"/>
    </row>
    <row r="300" spans="1:18" ht="13.5" thickBot="1" x14ac:dyDescent="0.25">
      <c r="A300" s="355" t="s">
        <v>232</v>
      </c>
      <c r="B300" s="356"/>
      <c r="C300" s="356"/>
      <c r="D300" s="356"/>
      <c r="E300" s="356"/>
      <c r="F300" s="357"/>
      <c r="G300" s="358">
        <f>G8+G74+G83+G110+G157+G224+G280+G275+G215</f>
        <v>30710.600000000002</v>
      </c>
      <c r="H300" s="358">
        <f>H8+H74+H83+H110+H157+H224+H280+H275+H215</f>
        <v>42328.55</v>
      </c>
      <c r="I300" s="358">
        <f>I8+I74+I83+I110+I157+I224+I280+I275+I215</f>
        <v>42328.563940000007</v>
      </c>
      <c r="J300" s="358">
        <f>J8+J74+J83+J110+J157+J224+J280+J275+J215</f>
        <v>41827.030279999999</v>
      </c>
      <c r="K300" s="358">
        <f t="shared" si="101"/>
        <v>1.3940000004367903E-2</v>
      </c>
      <c r="L300" s="358">
        <f t="shared" si="102"/>
        <v>100.00003293285502</v>
      </c>
      <c r="M300" s="358">
        <f t="shared" si="103"/>
        <v>501.53366000000824</v>
      </c>
      <c r="N300" s="358">
        <f t="shared" si="104"/>
        <v>98.81514132936114</v>
      </c>
      <c r="O300" s="358">
        <f t="shared" si="109"/>
        <v>136.19737250330505</v>
      </c>
      <c r="P300" s="358">
        <f t="shared" si="105"/>
        <v>98.815173872008373</v>
      </c>
      <c r="Q300" s="358">
        <f t="shared" si="106"/>
        <v>11617.95</v>
      </c>
      <c r="R300" s="358">
        <f t="shared" si="110"/>
        <v>137.83042337173484</v>
      </c>
    </row>
    <row r="301" spans="1:18" s="197" customFormat="1" x14ac:dyDescent="0.25">
      <c r="A301" s="360"/>
      <c r="B301" s="361"/>
      <c r="C301" s="361"/>
      <c r="D301" s="361"/>
      <c r="E301" s="361"/>
      <c r="F301" s="361"/>
      <c r="G301" s="363"/>
      <c r="H301" s="362"/>
      <c r="I301" s="363"/>
      <c r="J301" s="363"/>
    </row>
    <row r="302" spans="1:18" s="197" customFormat="1" x14ac:dyDescent="0.2">
      <c r="A302" s="360"/>
      <c r="B302" s="361"/>
      <c r="C302" s="361"/>
      <c r="D302" s="361"/>
      <c r="E302" s="361"/>
      <c r="F302" s="361"/>
      <c r="G302" s="363"/>
      <c r="H302" s="364"/>
      <c r="I302" s="365"/>
      <c r="J302" s="363"/>
    </row>
    <row r="303" spans="1:18" s="197" customFormat="1" x14ac:dyDescent="0.2">
      <c r="A303" s="360"/>
      <c r="B303" s="361"/>
      <c r="C303" s="361"/>
      <c r="D303" s="361"/>
      <c r="E303" s="361"/>
      <c r="F303" s="361"/>
      <c r="G303" s="363"/>
      <c r="H303" s="364"/>
      <c r="I303" s="363"/>
      <c r="J303" s="363"/>
    </row>
    <row r="304" spans="1:18" s="197" customFormat="1" x14ac:dyDescent="0.2">
      <c r="A304" s="360"/>
      <c r="B304" s="361"/>
      <c r="C304" s="361"/>
      <c r="D304" s="361"/>
      <c r="E304" s="361"/>
      <c r="F304" s="361"/>
      <c r="G304" s="363"/>
      <c r="H304" s="364"/>
      <c r="I304" s="363"/>
      <c r="J304" s="363"/>
    </row>
    <row r="305" spans="1:10" s="197" customFormat="1" x14ac:dyDescent="0.2">
      <c r="A305" s="360"/>
      <c r="B305" s="361"/>
      <c r="C305" s="361"/>
      <c r="D305" s="361"/>
      <c r="E305" s="361"/>
      <c r="F305" s="361"/>
      <c r="G305" s="363"/>
      <c r="H305" s="364"/>
      <c r="I305" s="363"/>
      <c r="J305" s="363"/>
    </row>
    <row r="306" spans="1:10" s="197" customFormat="1" x14ac:dyDescent="0.2">
      <c r="A306" s="360"/>
      <c r="B306" s="361"/>
      <c r="C306" s="361"/>
      <c r="D306" s="361"/>
      <c r="E306" s="361"/>
      <c r="F306" s="361"/>
      <c r="G306" s="363"/>
      <c r="H306" s="364"/>
      <c r="I306" s="363"/>
      <c r="J306" s="363"/>
    </row>
    <row r="307" spans="1:10" s="197" customFormat="1" x14ac:dyDescent="0.2">
      <c r="A307" s="360"/>
      <c r="B307" s="361"/>
      <c r="C307" s="361"/>
      <c r="D307" s="361"/>
      <c r="E307" s="361"/>
      <c r="F307" s="361"/>
      <c r="G307" s="363"/>
      <c r="H307" s="364"/>
      <c r="I307" s="363"/>
      <c r="J307" s="363"/>
    </row>
    <row r="308" spans="1:10" s="197" customFormat="1" x14ac:dyDescent="0.2">
      <c r="A308" s="360"/>
      <c r="B308" s="361"/>
      <c r="C308" s="361"/>
      <c r="D308" s="361"/>
      <c r="E308" s="361"/>
      <c r="F308" s="361"/>
      <c r="G308" s="363"/>
      <c r="H308" s="364"/>
      <c r="I308" s="363"/>
      <c r="J308" s="363"/>
    </row>
    <row r="309" spans="1:10" s="197" customFormat="1" x14ac:dyDescent="0.2">
      <c r="A309" s="360"/>
      <c r="B309" s="361"/>
      <c r="C309" s="361"/>
      <c r="D309" s="361"/>
      <c r="E309" s="361"/>
      <c r="F309" s="361"/>
      <c r="G309" s="363"/>
      <c r="H309" s="364"/>
      <c r="I309" s="363"/>
      <c r="J309" s="363"/>
    </row>
    <row r="310" spans="1:10" s="197" customFormat="1" x14ac:dyDescent="0.2">
      <c r="A310" s="360"/>
      <c r="B310" s="361"/>
      <c r="C310" s="361"/>
      <c r="D310" s="361"/>
      <c r="E310" s="361"/>
      <c r="F310" s="361"/>
      <c r="G310" s="363"/>
      <c r="H310" s="364"/>
      <c r="I310" s="363"/>
      <c r="J310" s="363"/>
    </row>
    <row r="311" spans="1:10" s="197" customFormat="1" x14ac:dyDescent="0.2">
      <c r="A311" s="360"/>
      <c r="B311" s="361"/>
      <c r="C311" s="361"/>
      <c r="D311" s="361"/>
      <c r="E311" s="361"/>
      <c r="F311" s="361"/>
      <c r="G311" s="363"/>
      <c r="H311" s="364"/>
      <c r="I311" s="363"/>
      <c r="J311" s="363"/>
    </row>
    <row r="312" spans="1:10" s="197" customFormat="1" x14ac:dyDescent="0.2">
      <c r="A312" s="360"/>
      <c r="B312" s="361"/>
      <c r="C312" s="361"/>
      <c r="D312" s="361"/>
      <c r="E312" s="361"/>
      <c r="F312" s="361"/>
      <c r="G312" s="363"/>
      <c r="H312" s="364"/>
      <c r="I312" s="363"/>
      <c r="J312" s="363"/>
    </row>
    <row r="313" spans="1:10" s="197" customFormat="1" x14ac:dyDescent="0.2">
      <c r="A313" s="360"/>
      <c r="B313" s="361"/>
      <c r="C313" s="361"/>
      <c r="D313" s="361"/>
      <c r="E313" s="361"/>
      <c r="F313" s="361"/>
      <c r="G313" s="363"/>
      <c r="H313" s="364"/>
      <c r="I313" s="363"/>
      <c r="J313" s="363"/>
    </row>
    <row r="314" spans="1:10" s="197" customFormat="1" x14ac:dyDescent="0.2">
      <c r="A314" s="360"/>
      <c r="B314" s="361"/>
      <c r="C314" s="361"/>
      <c r="D314" s="361"/>
      <c r="E314" s="361"/>
      <c r="F314" s="361"/>
      <c r="G314" s="363"/>
      <c r="H314" s="364"/>
      <c r="I314" s="363"/>
      <c r="J314" s="363"/>
    </row>
    <row r="315" spans="1:10" s="197" customFormat="1" x14ac:dyDescent="0.2">
      <c r="A315" s="360"/>
      <c r="B315" s="361"/>
      <c r="C315" s="361"/>
      <c r="D315" s="361"/>
      <c r="E315" s="361"/>
      <c r="F315" s="361"/>
      <c r="G315" s="363"/>
      <c r="H315" s="364"/>
      <c r="I315" s="363"/>
      <c r="J315" s="363"/>
    </row>
    <row r="316" spans="1:10" s="197" customFormat="1" x14ac:dyDescent="0.2">
      <c r="A316" s="360"/>
      <c r="B316" s="361"/>
      <c r="C316" s="361"/>
      <c r="D316" s="361"/>
      <c r="E316" s="361"/>
      <c r="F316" s="361"/>
      <c r="G316" s="363"/>
      <c r="H316" s="364"/>
      <c r="I316" s="363"/>
      <c r="J316" s="363"/>
    </row>
    <row r="317" spans="1:10" s="197" customFormat="1" x14ac:dyDescent="0.2">
      <c r="A317" s="360"/>
      <c r="B317" s="361"/>
      <c r="C317" s="361"/>
      <c r="D317" s="361"/>
      <c r="E317" s="361"/>
      <c r="F317" s="361"/>
      <c r="G317" s="363"/>
      <c r="H317" s="364"/>
      <c r="I317" s="363"/>
      <c r="J317" s="363"/>
    </row>
    <row r="318" spans="1:10" s="197" customFormat="1" x14ac:dyDescent="0.2">
      <c r="A318" s="360"/>
      <c r="B318" s="361"/>
      <c r="C318" s="361"/>
      <c r="D318" s="361"/>
      <c r="E318" s="361"/>
      <c r="F318" s="361"/>
      <c r="G318" s="363"/>
      <c r="H318" s="364"/>
      <c r="I318" s="363"/>
      <c r="J318" s="363"/>
    </row>
    <row r="319" spans="1:10" s="197" customFormat="1" x14ac:dyDescent="0.2">
      <c r="A319" s="360"/>
      <c r="B319" s="361"/>
      <c r="C319" s="361"/>
      <c r="D319" s="361"/>
      <c r="E319" s="361"/>
      <c r="F319" s="361"/>
      <c r="G319" s="363"/>
      <c r="H319" s="364"/>
      <c r="I319" s="363"/>
      <c r="J319" s="363"/>
    </row>
    <row r="320" spans="1:10" s="197" customFormat="1" x14ac:dyDescent="0.2">
      <c r="A320" s="360"/>
      <c r="B320" s="361"/>
      <c r="C320" s="361"/>
      <c r="D320" s="361"/>
      <c r="E320" s="361"/>
      <c r="F320" s="361"/>
      <c r="G320" s="363"/>
      <c r="H320" s="364"/>
      <c r="I320" s="363"/>
      <c r="J320" s="363"/>
    </row>
    <row r="321" spans="1:10" s="197" customFormat="1" x14ac:dyDescent="0.2">
      <c r="A321" s="360"/>
      <c r="B321" s="361"/>
      <c r="C321" s="361"/>
      <c r="D321" s="361"/>
      <c r="E321" s="361"/>
      <c r="F321" s="361"/>
      <c r="G321" s="363"/>
      <c r="H321" s="364"/>
      <c r="I321" s="363"/>
      <c r="J321" s="363"/>
    </row>
    <row r="322" spans="1:10" s="197" customFormat="1" x14ac:dyDescent="0.2">
      <c r="A322" s="360"/>
      <c r="B322" s="361"/>
      <c r="C322" s="361"/>
      <c r="D322" s="361"/>
      <c r="E322" s="361"/>
      <c r="F322" s="361"/>
      <c r="G322" s="363"/>
      <c r="H322" s="364"/>
      <c r="I322" s="363"/>
      <c r="J322" s="363"/>
    </row>
    <row r="323" spans="1:10" s="197" customFormat="1" x14ac:dyDescent="0.2">
      <c r="A323" s="360"/>
      <c r="B323" s="361"/>
      <c r="C323" s="361"/>
      <c r="D323" s="361"/>
      <c r="E323" s="361"/>
      <c r="F323" s="361"/>
      <c r="G323" s="363"/>
      <c r="H323" s="364"/>
      <c r="I323" s="363"/>
      <c r="J323" s="363"/>
    </row>
    <row r="324" spans="1:10" s="197" customFormat="1" x14ac:dyDescent="0.2">
      <c r="A324" s="360"/>
      <c r="B324" s="361"/>
      <c r="C324" s="361"/>
      <c r="D324" s="361"/>
      <c r="E324" s="361"/>
      <c r="F324" s="361"/>
      <c r="G324" s="363"/>
      <c r="H324" s="364"/>
      <c r="I324" s="363"/>
      <c r="J324" s="363"/>
    </row>
    <row r="325" spans="1:10" s="197" customFormat="1" x14ac:dyDescent="0.2">
      <c r="A325" s="360"/>
      <c r="B325" s="361"/>
      <c r="C325" s="361"/>
      <c r="D325" s="361"/>
      <c r="E325" s="361"/>
      <c r="F325" s="361"/>
      <c r="G325" s="363"/>
      <c r="H325" s="364"/>
      <c r="I325" s="363"/>
      <c r="J325" s="363"/>
    </row>
    <row r="326" spans="1:10" s="197" customFormat="1" x14ac:dyDescent="0.2">
      <c r="A326" s="360"/>
      <c r="B326" s="361"/>
      <c r="C326" s="361"/>
      <c r="D326" s="361"/>
      <c r="E326" s="361"/>
      <c r="F326" s="361"/>
      <c r="G326" s="363"/>
      <c r="H326" s="364"/>
      <c r="I326" s="363"/>
      <c r="J326" s="363"/>
    </row>
    <row r="327" spans="1:10" s="197" customFormat="1" x14ac:dyDescent="0.2">
      <c r="A327" s="360"/>
      <c r="B327" s="361"/>
      <c r="C327" s="361"/>
      <c r="D327" s="361"/>
      <c r="E327" s="361"/>
      <c r="F327" s="361"/>
      <c r="G327" s="363"/>
      <c r="H327" s="364"/>
      <c r="I327" s="363"/>
      <c r="J327" s="363"/>
    </row>
    <row r="328" spans="1:10" s="197" customFormat="1" x14ac:dyDescent="0.2">
      <c r="A328" s="360"/>
      <c r="B328" s="361"/>
      <c r="C328" s="361"/>
      <c r="D328" s="361"/>
      <c r="E328" s="361"/>
      <c r="F328" s="361"/>
      <c r="G328" s="363"/>
      <c r="H328" s="364"/>
      <c r="I328" s="363"/>
      <c r="J328" s="363"/>
    </row>
    <row r="329" spans="1:10" s="197" customFormat="1" x14ac:dyDescent="0.2">
      <c r="A329" s="360"/>
      <c r="B329" s="361"/>
      <c r="C329" s="361"/>
      <c r="D329" s="361"/>
      <c r="E329" s="361"/>
      <c r="F329" s="361"/>
      <c r="G329" s="363"/>
      <c r="H329" s="364"/>
      <c r="I329" s="363"/>
      <c r="J329" s="363"/>
    </row>
    <row r="330" spans="1:10" s="197" customFormat="1" x14ac:dyDescent="0.2">
      <c r="A330" s="360"/>
      <c r="B330" s="361"/>
      <c r="C330" s="361"/>
      <c r="D330" s="361"/>
      <c r="E330" s="361"/>
      <c r="F330" s="361"/>
      <c r="G330" s="363"/>
      <c r="H330" s="364"/>
      <c r="I330" s="363"/>
      <c r="J330" s="363"/>
    </row>
    <row r="331" spans="1:10" s="197" customFormat="1" x14ac:dyDescent="0.2">
      <c r="A331" s="360"/>
      <c r="B331" s="361"/>
      <c r="C331" s="361"/>
      <c r="D331" s="361"/>
      <c r="E331" s="361"/>
      <c r="F331" s="361"/>
      <c r="G331" s="363"/>
      <c r="H331" s="364"/>
      <c r="I331" s="363"/>
      <c r="J331" s="363"/>
    </row>
    <row r="332" spans="1:10" s="197" customFormat="1" x14ac:dyDescent="0.2">
      <c r="A332" s="360"/>
      <c r="B332" s="361"/>
      <c r="C332" s="361"/>
      <c r="D332" s="361"/>
      <c r="E332" s="361"/>
      <c r="F332" s="361"/>
      <c r="G332" s="363"/>
      <c r="H332" s="364"/>
      <c r="I332" s="363"/>
      <c r="J332" s="363"/>
    </row>
    <row r="333" spans="1:10" s="197" customFormat="1" x14ac:dyDescent="0.2">
      <c r="A333" s="360"/>
      <c r="B333" s="361"/>
      <c r="C333" s="361"/>
      <c r="D333" s="361"/>
      <c r="E333" s="361"/>
      <c r="F333" s="361"/>
      <c r="G333" s="363"/>
      <c r="H333" s="364"/>
      <c r="I333" s="363"/>
      <c r="J333" s="363"/>
    </row>
    <row r="334" spans="1:10" s="197" customFormat="1" x14ac:dyDescent="0.2">
      <c r="A334" s="360"/>
      <c r="B334" s="361"/>
      <c r="C334" s="361"/>
      <c r="D334" s="361"/>
      <c r="E334" s="361"/>
      <c r="F334" s="361"/>
      <c r="G334" s="363"/>
      <c r="H334" s="364"/>
      <c r="I334" s="363"/>
      <c r="J334" s="363"/>
    </row>
    <row r="335" spans="1:10" s="197" customFormat="1" x14ac:dyDescent="0.2">
      <c r="A335" s="360"/>
      <c r="B335" s="361"/>
      <c r="C335" s="361"/>
      <c r="D335" s="361"/>
      <c r="E335" s="361"/>
      <c r="F335" s="361"/>
      <c r="G335" s="363"/>
      <c r="H335" s="364"/>
      <c r="I335" s="363"/>
      <c r="J335" s="363"/>
    </row>
    <row r="336" spans="1:10" s="197" customFormat="1" x14ac:dyDescent="0.2">
      <c r="A336" s="360"/>
      <c r="B336" s="361"/>
      <c r="C336" s="361"/>
      <c r="D336" s="361"/>
      <c r="E336" s="361"/>
      <c r="F336" s="361"/>
      <c r="G336" s="363"/>
      <c r="H336" s="364"/>
      <c r="I336" s="363"/>
      <c r="J336" s="363"/>
    </row>
    <row r="337" spans="1:10" s="197" customFormat="1" x14ac:dyDescent="0.2">
      <c r="A337" s="360"/>
      <c r="B337" s="361"/>
      <c r="C337" s="361"/>
      <c r="D337" s="361"/>
      <c r="E337" s="361"/>
      <c r="F337" s="361"/>
      <c r="G337" s="363"/>
      <c r="H337" s="364"/>
      <c r="I337" s="363"/>
      <c r="J337" s="363"/>
    </row>
    <row r="338" spans="1:10" s="197" customFormat="1" x14ac:dyDescent="0.2">
      <c r="A338" s="360"/>
      <c r="B338" s="361"/>
      <c r="C338" s="361"/>
      <c r="D338" s="361"/>
      <c r="E338" s="361"/>
      <c r="F338" s="361"/>
      <c r="G338" s="363"/>
      <c r="H338" s="364"/>
      <c r="I338" s="363"/>
      <c r="J338" s="363"/>
    </row>
    <row r="339" spans="1:10" s="197" customFormat="1" x14ac:dyDescent="0.2">
      <c r="A339" s="360"/>
      <c r="B339" s="361"/>
      <c r="C339" s="361"/>
      <c r="D339" s="361"/>
      <c r="E339" s="361"/>
      <c r="F339" s="361"/>
      <c r="G339" s="363"/>
      <c r="H339" s="364"/>
      <c r="I339" s="363"/>
      <c r="J339" s="363"/>
    </row>
    <row r="340" spans="1:10" s="197" customFormat="1" x14ac:dyDescent="0.2">
      <c r="A340" s="360"/>
      <c r="B340" s="361"/>
      <c r="C340" s="361"/>
      <c r="D340" s="361"/>
      <c r="E340" s="361"/>
      <c r="F340" s="361"/>
      <c r="G340" s="363"/>
      <c r="H340" s="364"/>
      <c r="I340" s="363"/>
      <c r="J340" s="363"/>
    </row>
    <row r="341" spans="1:10" s="197" customFormat="1" x14ac:dyDescent="0.2">
      <c r="A341" s="360"/>
      <c r="B341" s="361"/>
      <c r="C341" s="361"/>
      <c r="D341" s="361"/>
      <c r="E341" s="361"/>
      <c r="F341" s="361"/>
      <c r="G341" s="363"/>
      <c r="H341" s="364"/>
      <c r="I341" s="363"/>
      <c r="J341" s="363"/>
    </row>
    <row r="342" spans="1:10" s="197" customFormat="1" x14ac:dyDescent="0.2">
      <c r="A342" s="360"/>
      <c r="B342" s="361"/>
      <c r="C342" s="361"/>
      <c r="D342" s="361"/>
      <c r="E342" s="361"/>
      <c r="F342" s="361"/>
      <c r="G342" s="363"/>
      <c r="H342" s="364"/>
      <c r="I342" s="363"/>
      <c r="J342" s="363"/>
    </row>
    <row r="343" spans="1:10" s="197" customFormat="1" x14ac:dyDescent="0.2">
      <c r="A343" s="360"/>
      <c r="B343" s="361"/>
      <c r="C343" s="361"/>
      <c r="D343" s="361"/>
      <c r="E343" s="361"/>
      <c r="F343" s="361"/>
      <c r="G343" s="363"/>
      <c r="H343" s="364"/>
      <c r="I343" s="363"/>
      <c r="J343" s="363"/>
    </row>
    <row r="344" spans="1:10" s="197" customFormat="1" x14ac:dyDescent="0.2">
      <c r="A344" s="360"/>
      <c r="B344" s="361"/>
      <c r="C344" s="361"/>
      <c r="D344" s="361"/>
      <c r="E344" s="361"/>
      <c r="F344" s="361"/>
      <c r="G344" s="363"/>
      <c r="H344" s="364"/>
      <c r="I344" s="363"/>
      <c r="J344" s="363"/>
    </row>
    <row r="345" spans="1:10" s="197" customFormat="1" x14ac:dyDescent="0.2">
      <c r="A345" s="360"/>
      <c r="B345" s="361"/>
      <c r="C345" s="361"/>
      <c r="D345" s="361"/>
      <c r="E345" s="361"/>
      <c r="F345" s="361"/>
      <c r="G345" s="363"/>
      <c r="H345" s="364"/>
      <c r="I345" s="363"/>
      <c r="J345" s="363"/>
    </row>
    <row r="346" spans="1:10" s="197" customFormat="1" x14ac:dyDescent="0.2">
      <c r="A346" s="360"/>
      <c r="B346" s="361"/>
      <c r="C346" s="361"/>
      <c r="D346" s="361"/>
      <c r="E346" s="361"/>
      <c r="F346" s="361"/>
      <c r="G346" s="363"/>
      <c r="H346" s="364"/>
      <c r="I346" s="363"/>
      <c r="J346" s="363"/>
    </row>
    <row r="347" spans="1:10" s="197" customFormat="1" x14ac:dyDescent="0.2">
      <c r="A347" s="360"/>
      <c r="B347" s="361"/>
      <c r="C347" s="361"/>
      <c r="D347" s="361"/>
      <c r="E347" s="361"/>
      <c r="F347" s="361"/>
      <c r="G347" s="363"/>
      <c r="H347" s="364"/>
      <c r="I347" s="363"/>
      <c r="J347" s="363"/>
    </row>
    <row r="348" spans="1:10" s="197" customFormat="1" x14ac:dyDescent="0.2">
      <c r="A348" s="360"/>
      <c r="B348" s="361"/>
      <c r="C348" s="361"/>
      <c r="D348" s="361"/>
      <c r="E348" s="361"/>
      <c r="F348" s="361"/>
      <c r="G348" s="363"/>
      <c r="H348" s="364"/>
      <c r="I348" s="363"/>
      <c r="J348" s="363"/>
    </row>
    <row r="349" spans="1:10" s="197" customFormat="1" x14ac:dyDescent="0.2">
      <c r="A349" s="360"/>
      <c r="B349" s="361"/>
      <c r="C349" s="361"/>
      <c r="D349" s="361"/>
      <c r="E349" s="361"/>
      <c r="F349" s="361"/>
      <c r="G349" s="363"/>
      <c r="H349" s="364"/>
      <c r="I349" s="363"/>
      <c r="J349" s="363"/>
    </row>
    <row r="350" spans="1:10" s="197" customFormat="1" x14ac:dyDescent="0.2">
      <c r="A350" s="360"/>
      <c r="B350" s="361"/>
      <c r="C350" s="361"/>
      <c r="D350" s="361"/>
      <c r="E350" s="361"/>
      <c r="F350" s="361"/>
      <c r="G350" s="363"/>
      <c r="H350" s="364"/>
      <c r="I350" s="363"/>
      <c r="J350" s="363"/>
    </row>
    <row r="351" spans="1:10" s="197" customFormat="1" x14ac:dyDescent="0.2">
      <c r="A351" s="360"/>
      <c r="B351" s="361"/>
      <c r="C351" s="361"/>
      <c r="D351" s="361"/>
      <c r="E351" s="361"/>
      <c r="F351" s="361"/>
      <c r="G351" s="363"/>
      <c r="H351" s="364"/>
      <c r="I351" s="363"/>
      <c r="J351" s="363"/>
    </row>
    <row r="352" spans="1:10" s="197" customFormat="1" x14ac:dyDescent="0.2">
      <c r="A352" s="360"/>
      <c r="B352" s="361"/>
      <c r="C352" s="361"/>
      <c r="D352" s="361"/>
      <c r="E352" s="361"/>
      <c r="F352" s="361"/>
      <c r="G352" s="363"/>
      <c r="H352" s="364"/>
      <c r="I352" s="363"/>
      <c r="J352" s="363"/>
    </row>
    <row r="353" spans="1:10" s="197" customFormat="1" x14ac:dyDescent="0.2">
      <c r="A353" s="360"/>
      <c r="B353" s="361"/>
      <c r="C353" s="361"/>
      <c r="D353" s="361"/>
      <c r="E353" s="361"/>
      <c r="F353" s="361"/>
      <c r="G353" s="363"/>
      <c r="H353" s="364"/>
      <c r="I353" s="363"/>
      <c r="J353" s="363"/>
    </row>
    <row r="354" spans="1:10" s="197" customFormat="1" x14ac:dyDescent="0.2">
      <c r="A354" s="360"/>
      <c r="B354" s="361"/>
      <c r="C354" s="361"/>
      <c r="D354" s="361"/>
      <c r="E354" s="361"/>
      <c r="F354" s="361"/>
      <c r="G354" s="363"/>
      <c r="H354" s="364"/>
      <c r="I354" s="363"/>
      <c r="J354" s="363"/>
    </row>
    <row r="355" spans="1:10" s="197" customFormat="1" x14ac:dyDescent="0.2">
      <c r="A355" s="360"/>
      <c r="B355" s="361"/>
      <c r="C355" s="361"/>
      <c r="D355" s="361"/>
      <c r="E355" s="361"/>
      <c r="F355" s="361"/>
      <c r="G355" s="363"/>
      <c r="H355" s="364"/>
      <c r="I355" s="363"/>
      <c r="J355" s="363"/>
    </row>
    <row r="356" spans="1:10" s="197" customFormat="1" x14ac:dyDescent="0.2">
      <c r="A356" s="360"/>
      <c r="B356" s="361"/>
      <c r="C356" s="361"/>
      <c r="D356" s="361"/>
      <c r="E356" s="361"/>
      <c r="F356" s="361"/>
      <c r="G356" s="363"/>
      <c r="H356" s="364"/>
      <c r="I356" s="363"/>
      <c r="J356" s="363"/>
    </row>
    <row r="357" spans="1:10" s="197" customFormat="1" x14ac:dyDescent="0.2">
      <c r="A357" s="360"/>
      <c r="B357" s="361"/>
      <c r="C357" s="361"/>
      <c r="D357" s="361"/>
      <c r="E357" s="361"/>
      <c r="F357" s="361"/>
      <c r="G357" s="363"/>
      <c r="H357" s="364"/>
      <c r="I357" s="363"/>
      <c r="J357" s="363"/>
    </row>
    <row r="358" spans="1:10" s="197" customFormat="1" x14ac:dyDescent="0.2">
      <c r="A358" s="360"/>
      <c r="B358" s="361"/>
      <c r="C358" s="361"/>
      <c r="D358" s="361"/>
      <c r="E358" s="361"/>
      <c r="F358" s="361"/>
      <c r="G358" s="363"/>
      <c r="H358" s="364"/>
      <c r="I358" s="363"/>
      <c r="J358" s="363"/>
    </row>
    <row r="359" spans="1:10" s="197" customFormat="1" x14ac:dyDescent="0.2">
      <c r="A359" s="360"/>
      <c r="B359" s="361"/>
      <c r="C359" s="361"/>
      <c r="D359" s="361"/>
      <c r="E359" s="361"/>
      <c r="F359" s="361"/>
      <c r="G359" s="363"/>
      <c r="H359" s="364"/>
      <c r="I359" s="363"/>
      <c r="J359" s="363"/>
    </row>
    <row r="360" spans="1:10" s="197" customFormat="1" x14ac:dyDescent="0.2">
      <c r="A360" s="360"/>
      <c r="B360" s="361"/>
      <c r="C360" s="361"/>
      <c r="D360" s="361"/>
      <c r="E360" s="361"/>
      <c r="F360" s="361"/>
      <c r="G360" s="363"/>
      <c r="H360" s="364"/>
      <c r="I360" s="363"/>
      <c r="J360" s="363"/>
    </row>
    <row r="361" spans="1:10" s="197" customFormat="1" x14ac:dyDescent="0.2">
      <c r="A361" s="360"/>
      <c r="B361" s="361"/>
      <c r="C361" s="361"/>
      <c r="D361" s="361"/>
      <c r="E361" s="361"/>
      <c r="F361" s="361"/>
      <c r="G361" s="363"/>
      <c r="H361" s="364"/>
      <c r="I361" s="363"/>
      <c r="J361" s="363"/>
    </row>
    <row r="362" spans="1:10" s="197" customFormat="1" x14ac:dyDescent="0.2">
      <c r="A362" s="360"/>
      <c r="B362" s="361"/>
      <c r="C362" s="361"/>
      <c r="D362" s="361"/>
      <c r="E362" s="361"/>
      <c r="F362" s="361"/>
      <c r="G362" s="363"/>
      <c r="H362" s="364"/>
      <c r="I362" s="363"/>
      <c r="J362" s="363"/>
    </row>
    <row r="363" spans="1:10" s="197" customFormat="1" x14ac:dyDescent="0.2">
      <c r="A363" s="360"/>
      <c r="B363" s="361"/>
      <c r="C363" s="361"/>
      <c r="D363" s="361"/>
      <c r="E363" s="361"/>
      <c r="F363" s="361"/>
      <c r="G363" s="363"/>
      <c r="H363" s="364"/>
      <c r="I363" s="363"/>
      <c r="J363" s="363"/>
    </row>
    <row r="364" spans="1:10" s="197" customFormat="1" x14ac:dyDescent="0.2">
      <c r="A364" s="360"/>
      <c r="B364" s="361"/>
      <c r="C364" s="361"/>
      <c r="D364" s="361"/>
      <c r="E364" s="361"/>
      <c r="F364" s="361"/>
      <c r="G364" s="363"/>
      <c r="H364" s="364"/>
      <c r="I364" s="363"/>
      <c r="J364" s="363"/>
    </row>
    <row r="365" spans="1:10" s="197" customFormat="1" x14ac:dyDescent="0.2">
      <c r="A365" s="360"/>
      <c r="B365" s="361"/>
      <c r="C365" s="361"/>
      <c r="D365" s="361"/>
      <c r="E365" s="361"/>
      <c r="F365" s="361"/>
      <c r="G365" s="363"/>
      <c r="H365" s="364"/>
      <c r="I365" s="363"/>
      <c r="J365" s="363"/>
    </row>
    <row r="366" spans="1:10" s="197" customFormat="1" x14ac:dyDescent="0.2">
      <c r="A366" s="360"/>
      <c r="B366" s="361"/>
      <c r="C366" s="361"/>
      <c r="D366" s="361"/>
      <c r="E366" s="361"/>
      <c r="F366" s="361"/>
      <c r="G366" s="363"/>
      <c r="H366" s="364"/>
      <c r="I366" s="363"/>
      <c r="J366" s="363"/>
    </row>
    <row r="367" spans="1:10" s="197" customFormat="1" x14ac:dyDescent="0.2">
      <c r="A367" s="360"/>
      <c r="B367" s="361"/>
      <c r="C367" s="361"/>
      <c r="D367" s="361"/>
      <c r="E367" s="361"/>
      <c r="F367" s="361"/>
      <c r="G367" s="363"/>
      <c r="H367" s="364"/>
      <c r="I367" s="363"/>
      <c r="J367" s="363"/>
    </row>
    <row r="368" spans="1:10" s="197" customFormat="1" x14ac:dyDescent="0.2">
      <c r="A368" s="360"/>
      <c r="B368" s="361"/>
      <c r="C368" s="361"/>
      <c r="D368" s="361"/>
      <c r="E368" s="361"/>
      <c r="F368" s="361"/>
      <c r="G368" s="363"/>
      <c r="H368" s="364"/>
      <c r="I368" s="363"/>
      <c r="J368" s="363"/>
    </row>
    <row r="369" spans="1:10" s="197" customFormat="1" x14ac:dyDescent="0.2">
      <c r="A369" s="360"/>
      <c r="B369" s="361"/>
      <c r="C369" s="361"/>
      <c r="D369" s="361"/>
      <c r="E369" s="361"/>
      <c r="F369" s="361"/>
      <c r="G369" s="363"/>
      <c r="H369" s="364"/>
      <c r="I369" s="363"/>
      <c r="J369" s="363"/>
    </row>
    <row r="370" spans="1:10" s="197" customFormat="1" x14ac:dyDescent="0.2">
      <c r="A370" s="360"/>
      <c r="B370" s="361"/>
      <c r="C370" s="361"/>
      <c r="D370" s="361"/>
      <c r="E370" s="361"/>
      <c r="F370" s="361"/>
      <c r="G370" s="363"/>
      <c r="H370" s="364"/>
      <c r="I370" s="363"/>
      <c r="J370" s="363"/>
    </row>
    <row r="371" spans="1:10" s="197" customFormat="1" x14ac:dyDescent="0.2">
      <c r="A371" s="360"/>
      <c r="B371" s="361"/>
      <c r="C371" s="361"/>
      <c r="D371" s="361"/>
      <c r="E371" s="361"/>
      <c r="F371" s="361"/>
      <c r="G371" s="363"/>
      <c r="H371" s="364"/>
      <c r="I371" s="363"/>
      <c r="J371" s="363"/>
    </row>
    <row r="372" spans="1:10" s="197" customFormat="1" x14ac:dyDescent="0.2">
      <c r="A372" s="360"/>
      <c r="B372" s="361"/>
      <c r="C372" s="361"/>
      <c r="D372" s="361"/>
      <c r="E372" s="361"/>
      <c r="F372" s="361"/>
      <c r="G372" s="363"/>
      <c r="H372" s="364"/>
      <c r="I372" s="363"/>
      <c r="J372" s="363"/>
    </row>
    <row r="373" spans="1:10" s="197" customFormat="1" x14ac:dyDescent="0.2">
      <c r="A373" s="360"/>
      <c r="B373" s="361"/>
      <c r="C373" s="361"/>
      <c r="D373" s="361"/>
      <c r="E373" s="361"/>
      <c r="F373" s="361"/>
      <c r="G373" s="363"/>
      <c r="H373" s="364"/>
      <c r="I373" s="363"/>
      <c r="J373" s="363"/>
    </row>
    <row r="374" spans="1:10" s="197" customFormat="1" x14ac:dyDescent="0.2">
      <c r="A374" s="360"/>
      <c r="B374" s="361"/>
      <c r="C374" s="361"/>
      <c r="D374" s="361"/>
      <c r="E374" s="361"/>
      <c r="F374" s="361"/>
      <c r="G374" s="363"/>
      <c r="H374" s="364"/>
      <c r="I374" s="363"/>
      <c r="J374" s="363"/>
    </row>
    <row r="375" spans="1:10" s="197" customFormat="1" x14ac:dyDescent="0.2">
      <c r="A375" s="360"/>
      <c r="B375" s="361"/>
      <c r="C375" s="361"/>
      <c r="D375" s="361"/>
      <c r="E375" s="361"/>
      <c r="F375" s="361"/>
      <c r="G375" s="363"/>
      <c r="H375" s="364"/>
      <c r="I375" s="363"/>
      <c r="J375" s="363"/>
    </row>
    <row r="376" spans="1:10" s="197" customFormat="1" x14ac:dyDescent="0.2">
      <c r="A376" s="360"/>
      <c r="B376" s="361"/>
      <c r="C376" s="361"/>
      <c r="D376" s="361"/>
      <c r="E376" s="361"/>
      <c r="F376" s="361"/>
      <c r="G376" s="363"/>
      <c r="H376" s="364"/>
      <c r="I376" s="363"/>
      <c r="J376" s="363"/>
    </row>
    <row r="377" spans="1:10" s="197" customFormat="1" x14ac:dyDescent="0.2">
      <c r="A377" s="360"/>
      <c r="B377" s="361"/>
      <c r="C377" s="361"/>
      <c r="D377" s="361"/>
      <c r="E377" s="361"/>
      <c r="F377" s="361"/>
      <c r="G377" s="363"/>
      <c r="H377" s="364"/>
      <c r="I377" s="363"/>
      <c r="J377" s="363"/>
    </row>
    <row r="378" spans="1:10" s="197" customFormat="1" x14ac:dyDescent="0.2">
      <c r="A378" s="360"/>
      <c r="B378" s="361"/>
      <c r="C378" s="361"/>
      <c r="D378" s="361"/>
      <c r="E378" s="361"/>
      <c r="F378" s="361"/>
      <c r="G378" s="363"/>
      <c r="H378" s="364"/>
      <c r="I378" s="363"/>
      <c r="J378" s="363"/>
    </row>
    <row r="379" spans="1:10" s="197" customFormat="1" x14ac:dyDescent="0.2">
      <c r="A379" s="360"/>
      <c r="B379" s="361"/>
      <c r="C379" s="361"/>
      <c r="D379" s="361"/>
      <c r="E379" s="361"/>
      <c r="F379" s="361"/>
      <c r="G379" s="363"/>
      <c r="H379" s="364"/>
      <c r="I379" s="363"/>
      <c r="J379" s="363"/>
    </row>
    <row r="380" spans="1:10" s="197" customFormat="1" x14ac:dyDescent="0.2">
      <c r="A380" s="360"/>
      <c r="B380" s="361"/>
      <c r="C380" s="361"/>
      <c r="D380" s="361"/>
      <c r="E380" s="361"/>
      <c r="F380" s="361"/>
      <c r="G380" s="363"/>
      <c r="H380" s="364"/>
      <c r="I380" s="363"/>
      <c r="J380" s="363"/>
    </row>
    <row r="381" spans="1:10" s="197" customFormat="1" x14ac:dyDescent="0.2">
      <c r="A381" s="360"/>
      <c r="B381" s="361"/>
      <c r="C381" s="361"/>
      <c r="D381" s="361"/>
      <c r="E381" s="361"/>
      <c r="F381" s="361"/>
      <c r="G381" s="363"/>
      <c r="H381" s="364"/>
      <c r="I381" s="363"/>
      <c r="J381" s="363"/>
    </row>
    <row r="382" spans="1:10" s="197" customFormat="1" x14ac:dyDescent="0.2">
      <c r="A382" s="360"/>
      <c r="B382" s="361"/>
      <c r="C382" s="361"/>
      <c r="D382" s="361"/>
      <c r="E382" s="361"/>
      <c r="F382" s="361"/>
      <c r="G382" s="363"/>
      <c r="H382" s="364"/>
      <c r="I382" s="363"/>
      <c r="J382" s="363"/>
    </row>
    <row r="383" spans="1:10" s="197" customFormat="1" x14ac:dyDescent="0.2">
      <c r="A383" s="360"/>
      <c r="B383" s="361"/>
      <c r="C383" s="361"/>
      <c r="D383" s="361"/>
      <c r="E383" s="361"/>
      <c r="F383" s="361"/>
      <c r="G383" s="363"/>
      <c r="H383" s="364"/>
      <c r="I383" s="363"/>
      <c r="J383" s="363"/>
    </row>
    <row r="384" spans="1:10" s="197" customFormat="1" x14ac:dyDescent="0.2">
      <c r="A384" s="360"/>
      <c r="B384" s="361"/>
      <c r="C384" s="361"/>
      <c r="D384" s="361"/>
      <c r="E384" s="361"/>
      <c r="F384" s="361"/>
      <c r="G384" s="363"/>
      <c r="H384" s="364"/>
      <c r="I384" s="363"/>
      <c r="J384" s="363"/>
    </row>
    <row r="385" spans="1:10" s="197" customFormat="1" x14ac:dyDescent="0.2">
      <c r="A385" s="360"/>
      <c r="B385" s="361"/>
      <c r="C385" s="361"/>
      <c r="D385" s="361"/>
      <c r="E385" s="361"/>
      <c r="F385" s="361"/>
      <c r="G385" s="363"/>
      <c r="H385" s="364"/>
      <c r="I385" s="363"/>
      <c r="J385" s="363"/>
    </row>
    <row r="386" spans="1:10" s="197" customFormat="1" x14ac:dyDescent="0.2">
      <c r="A386" s="360"/>
      <c r="B386" s="361"/>
      <c r="C386" s="361"/>
      <c r="D386" s="361"/>
      <c r="E386" s="361"/>
      <c r="F386" s="361"/>
      <c r="G386" s="363"/>
      <c r="H386" s="364"/>
      <c r="I386" s="363"/>
      <c r="J386" s="363"/>
    </row>
    <row r="387" spans="1:10" s="197" customFormat="1" x14ac:dyDescent="0.2">
      <c r="A387" s="360"/>
      <c r="B387" s="361"/>
      <c r="C387" s="361"/>
      <c r="D387" s="361"/>
      <c r="E387" s="361"/>
      <c r="F387" s="361"/>
      <c r="G387" s="363"/>
      <c r="H387" s="364"/>
      <c r="I387" s="363"/>
      <c r="J387" s="363"/>
    </row>
    <row r="388" spans="1:10" s="197" customFormat="1" x14ac:dyDescent="0.2">
      <c r="A388" s="360"/>
      <c r="B388" s="361"/>
      <c r="C388" s="361"/>
      <c r="D388" s="361"/>
      <c r="E388" s="361"/>
      <c r="F388" s="361"/>
      <c r="G388" s="363"/>
      <c r="H388" s="364"/>
      <c r="I388" s="363"/>
      <c r="J388" s="363"/>
    </row>
    <row r="389" spans="1:10" s="197" customFormat="1" x14ac:dyDescent="0.2">
      <c r="A389" s="360"/>
      <c r="B389" s="361"/>
      <c r="C389" s="361"/>
      <c r="D389" s="361"/>
      <c r="E389" s="361"/>
      <c r="F389" s="361"/>
      <c r="G389" s="363"/>
      <c r="H389" s="364"/>
      <c r="I389" s="363"/>
      <c r="J389" s="363"/>
    </row>
    <row r="390" spans="1:10" s="197" customFormat="1" x14ac:dyDescent="0.2">
      <c r="A390" s="360"/>
      <c r="B390" s="361"/>
      <c r="C390" s="361"/>
      <c r="D390" s="361"/>
      <c r="E390" s="361"/>
      <c r="F390" s="361"/>
      <c r="G390" s="363"/>
      <c r="H390" s="364"/>
      <c r="I390" s="363"/>
      <c r="J390" s="363"/>
    </row>
    <row r="391" spans="1:10" s="197" customFormat="1" x14ac:dyDescent="0.2">
      <c r="A391" s="360"/>
      <c r="B391" s="361"/>
      <c r="C391" s="361"/>
      <c r="D391" s="361"/>
      <c r="E391" s="361"/>
      <c r="F391" s="361"/>
      <c r="G391" s="363"/>
      <c r="H391" s="364"/>
      <c r="I391" s="363"/>
      <c r="J391" s="363"/>
    </row>
    <row r="392" spans="1:10" s="197" customFormat="1" x14ac:dyDescent="0.2">
      <c r="A392" s="360"/>
      <c r="B392" s="361"/>
      <c r="C392" s="361"/>
      <c r="D392" s="361"/>
      <c r="E392" s="361"/>
      <c r="F392" s="361"/>
      <c r="G392" s="363"/>
      <c r="H392" s="364"/>
      <c r="I392" s="363"/>
      <c r="J392" s="363"/>
    </row>
    <row r="393" spans="1:10" s="197" customFormat="1" x14ac:dyDescent="0.2">
      <c r="A393" s="360"/>
      <c r="B393" s="361"/>
      <c r="C393" s="361"/>
      <c r="D393" s="361"/>
      <c r="E393" s="361"/>
      <c r="F393" s="361"/>
      <c r="G393" s="363"/>
      <c r="H393" s="364"/>
      <c r="I393" s="363"/>
      <c r="J393" s="363"/>
    </row>
    <row r="394" spans="1:10" s="197" customFormat="1" x14ac:dyDescent="0.2">
      <c r="A394" s="360"/>
      <c r="B394" s="361"/>
      <c r="C394" s="361"/>
      <c r="D394" s="361"/>
      <c r="E394" s="361"/>
      <c r="F394" s="361"/>
      <c r="G394" s="363"/>
      <c r="H394" s="364"/>
      <c r="I394" s="363"/>
      <c r="J394" s="363"/>
    </row>
    <row r="395" spans="1:10" s="197" customFormat="1" x14ac:dyDescent="0.2">
      <c r="A395" s="360"/>
      <c r="B395" s="361"/>
      <c r="C395" s="361"/>
      <c r="D395" s="361"/>
      <c r="E395" s="361"/>
      <c r="F395" s="361"/>
      <c r="G395" s="363"/>
      <c r="H395" s="364"/>
      <c r="I395" s="363"/>
      <c r="J395" s="363"/>
    </row>
    <row r="396" spans="1:10" s="197" customFormat="1" x14ac:dyDescent="0.2">
      <c r="A396" s="360"/>
      <c r="B396" s="361"/>
      <c r="C396" s="361"/>
      <c r="D396" s="361"/>
      <c r="E396" s="361"/>
      <c r="F396" s="361"/>
      <c r="G396" s="363"/>
      <c r="H396" s="364"/>
      <c r="I396" s="363"/>
      <c r="J396" s="363"/>
    </row>
    <row r="397" spans="1:10" s="197" customFormat="1" x14ac:dyDescent="0.2">
      <c r="A397" s="360"/>
      <c r="B397" s="361"/>
      <c r="C397" s="361"/>
      <c r="D397" s="361"/>
      <c r="E397" s="361"/>
      <c r="F397" s="361"/>
      <c r="G397" s="363"/>
      <c r="H397" s="364"/>
      <c r="I397" s="363"/>
      <c r="J397" s="363"/>
    </row>
    <row r="398" spans="1:10" s="197" customFormat="1" x14ac:dyDescent="0.2">
      <c r="A398" s="360"/>
      <c r="B398" s="361"/>
      <c r="C398" s="361"/>
      <c r="D398" s="361"/>
      <c r="E398" s="361"/>
      <c r="F398" s="361"/>
      <c r="G398" s="363"/>
      <c r="H398" s="364"/>
      <c r="I398" s="363"/>
      <c r="J398" s="363"/>
    </row>
    <row r="399" spans="1:10" s="197" customFormat="1" x14ac:dyDescent="0.2">
      <c r="A399" s="360"/>
      <c r="B399" s="361"/>
      <c r="C399" s="361"/>
      <c r="D399" s="361"/>
      <c r="E399" s="361"/>
      <c r="F399" s="361"/>
      <c r="G399" s="363"/>
      <c r="H399" s="364"/>
      <c r="I399" s="363"/>
      <c r="J399" s="363"/>
    </row>
    <row r="400" spans="1:10" s="197" customFormat="1" x14ac:dyDescent="0.2">
      <c r="A400" s="360"/>
      <c r="B400" s="361"/>
      <c r="C400" s="361"/>
      <c r="D400" s="361"/>
      <c r="E400" s="361"/>
      <c r="F400" s="361"/>
      <c r="G400" s="363"/>
      <c r="H400" s="364"/>
      <c r="I400" s="363"/>
      <c r="J400" s="363"/>
    </row>
    <row r="401" spans="1:10" s="197" customFormat="1" x14ac:dyDescent="0.2">
      <c r="A401" s="360"/>
      <c r="B401" s="361"/>
      <c r="C401" s="361"/>
      <c r="D401" s="361"/>
      <c r="E401" s="361"/>
      <c r="F401" s="361"/>
      <c r="G401" s="363"/>
      <c r="H401" s="364"/>
      <c r="I401" s="363"/>
      <c r="J401" s="363"/>
    </row>
    <row r="402" spans="1:10" s="197" customFormat="1" x14ac:dyDescent="0.2">
      <c r="A402" s="360"/>
      <c r="B402" s="361"/>
      <c r="C402" s="361"/>
      <c r="D402" s="361"/>
      <c r="E402" s="361"/>
      <c r="F402" s="361"/>
      <c r="G402" s="363"/>
      <c r="H402" s="364"/>
      <c r="I402" s="363"/>
      <c r="J402" s="363"/>
    </row>
    <row r="403" spans="1:10" s="197" customFormat="1" x14ac:dyDescent="0.2">
      <c r="A403" s="360"/>
      <c r="B403" s="361"/>
      <c r="C403" s="361"/>
      <c r="D403" s="361"/>
      <c r="E403" s="361"/>
      <c r="F403" s="361"/>
      <c r="G403" s="363"/>
      <c r="H403" s="364"/>
      <c r="I403" s="363"/>
      <c r="J403" s="363"/>
    </row>
    <row r="404" spans="1:10" s="197" customFormat="1" x14ac:dyDescent="0.2">
      <c r="A404" s="360"/>
      <c r="B404" s="361"/>
      <c r="C404" s="361"/>
      <c r="D404" s="361"/>
      <c r="E404" s="361"/>
      <c r="F404" s="361"/>
      <c r="G404" s="363"/>
      <c r="H404" s="364"/>
      <c r="I404" s="363"/>
      <c r="J404" s="363"/>
    </row>
    <row r="405" spans="1:10" s="197" customFormat="1" x14ac:dyDescent="0.2">
      <c r="A405" s="360"/>
      <c r="B405" s="361"/>
      <c r="C405" s="361"/>
      <c r="D405" s="361"/>
      <c r="E405" s="361"/>
      <c r="F405" s="361"/>
      <c r="G405" s="363"/>
      <c r="H405" s="364"/>
      <c r="I405" s="363"/>
      <c r="J405" s="363"/>
    </row>
    <row r="406" spans="1:10" s="197" customFormat="1" x14ac:dyDescent="0.2">
      <c r="A406" s="360"/>
      <c r="B406" s="361"/>
      <c r="C406" s="361"/>
      <c r="D406" s="361"/>
      <c r="E406" s="361"/>
      <c r="F406" s="361"/>
      <c r="G406" s="363"/>
      <c r="H406" s="364"/>
      <c r="I406" s="363"/>
      <c r="J406" s="363"/>
    </row>
    <row r="407" spans="1:10" s="197" customFormat="1" x14ac:dyDescent="0.2">
      <c r="A407" s="360"/>
      <c r="B407" s="361"/>
      <c r="C407" s="361"/>
      <c r="D407" s="361"/>
      <c r="E407" s="361"/>
      <c r="F407" s="361"/>
      <c r="G407" s="363"/>
      <c r="H407" s="364"/>
      <c r="I407" s="363"/>
      <c r="J407" s="363"/>
    </row>
    <row r="408" spans="1:10" s="197" customFormat="1" x14ac:dyDescent="0.2">
      <c r="A408" s="360"/>
      <c r="B408" s="361"/>
      <c r="C408" s="361"/>
      <c r="D408" s="361"/>
      <c r="E408" s="361"/>
      <c r="F408" s="361"/>
      <c r="G408" s="363"/>
      <c r="H408" s="364"/>
      <c r="I408" s="363"/>
      <c r="J408" s="363"/>
    </row>
    <row r="409" spans="1:10" s="197" customFormat="1" x14ac:dyDescent="0.2">
      <c r="A409" s="360"/>
      <c r="B409" s="361"/>
      <c r="C409" s="361"/>
      <c r="D409" s="361"/>
      <c r="E409" s="361"/>
      <c r="F409" s="361"/>
      <c r="G409" s="363"/>
      <c r="H409" s="364"/>
      <c r="I409" s="363"/>
      <c r="J409" s="363"/>
    </row>
    <row r="410" spans="1:10" s="197" customFormat="1" x14ac:dyDescent="0.2">
      <c r="A410" s="360"/>
      <c r="B410" s="361"/>
      <c r="C410" s="361"/>
      <c r="D410" s="361"/>
      <c r="E410" s="361"/>
      <c r="F410" s="361"/>
      <c r="G410" s="363"/>
      <c r="H410" s="364"/>
      <c r="I410" s="363"/>
      <c r="J410" s="363"/>
    </row>
    <row r="411" spans="1:10" s="197" customFormat="1" x14ac:dyDescent="0.2">
      <c r="A411" s="360"/>
      <c r="B411" s="361"/>
      <c r="C411" s="361"/>
      <c r="D411" s="361"/>
      <c r="E411" s="361"/>
      <c r="F411" s="361"/>
      <c r="G411" s="363"/>
      <c r="H411" s="364"/>
      <c r="I411" s="363"/>
      <c r="J411" s="363"/>
    </row>
    <row r="412" spans="1:10" s="197" customFormat="1" x14ac:dyDescent="0.2">
      <c r="A412" s="360"/>
      <c r="B412" s="361"/>
      <c r="C412" s="361"/>
      <c r="D412" s="361"/>
      <c r="E412" s="361"/>
      <c r="F412" s="361"/>
      <c r="G412" s="363"/>
      <c r="H412" s="364"/>
      <c r="I412" s="363"/>
      <c r="J412" s="363"/>
    </row>
    <row r="413" spans="1:10" s="197" customFormat="1" x14ac:dyDescent="0.2">
      <c r="A413" s="360"/>
      <c r="B413" s="361"/>
      <c r="C413" s="361"/>
      <c r="D413" s="361"/>
      <c r="E413" s="361"/>
      <c r="F413" s="361"/>
      <c r="G413" s="363"/>
      <c r="H413" s="364"/>
      <c r="I413" s="363"/>
      <c r="J413" s="363"/>
    </row>
    <row r="414" spans="1:10" s="197" customFormat="1" x14ac:dyDescent="0.2">
      <c r="A414" s="360"/>
      <c r="B414" s="361"/>
      <c r="C414" s="361"/>
      <c r="D414" s="361"/>
      <c r="E414" s="361"/>
      <c r="F414" s="361"/>
      <c r="G414" s="363"/>
      <c r="H414" s="364"/>
      <c r="I414" s="363"/>
      <c r="J414" s="363"/>
    </row>
    <row r="415" spans="1:10" s="197" customFormat="1" x14ac:dyDescent="0.2">
      <c r="A415" s="360"/>
      <c r="B415" s="361"/>
      <c r="C415" s="361"/>
      <c r="D415" s="361"/>
      <c r="E415" s="361"/>
      <c r="F415" s="361"/>
      <c r="G415" s="363"/>
      <c r="H415" s="364"/>
      <c r="I415" s="363"/>
      <c r="J415" s="363"/>
    </row>
    <row r="416" spans="1:10" s="197" customFormat="1" x14ac:dyDescent="0.2">
      <c r="A416" s="360"/>
      <c r="B416" s="361"/>
      <c r="C416" s="361"/>
      <c r="D416" s="361"/>
      <c r="E416" s="361"/>
      <c r="F416" s="361"/>
      <c r="G416" s="363"/>
      <c r="H416" s="364"/>
      <c r="I416" s="363"/>
      <c r="J416" s="363"/>
    </row>
    <row r="417" spans="1:10" s="197" customFormat="1" x14ac:dyDescent="0.2">
      <c r="A417" s="360"/>
      <c r="B417" s="361"/>
      <c r="C417" s="361"/>
      <c r="D417" s="361"/>
      <c r="E417" s="361"/>
      <c r="F417" s="361"/>
      <c r="G417" s="363"/>
      <c r="H417" s="364"/>
      <c r="I417" s="363"/>
      <c r="J417" s="363"/>
    </row>
    <row r="418" spans="1:10" s="197" customFormat="1" x14ac:dyDescent="0.2">
      <c r="A418" s="360"/>
      <c r="B418" s="361"/>
      <c r="C418" s="361"/>
      <c r="D418" s="361"/>
      <c r="E418" s="361"/>
      <c r="F418" s="361"/>
      <c r="G418" s="363"/>
      <c r="H418" s="364"/>
      <c r="I418" s="363"/>
      <c r="J418" s="363"/>
    </row>
    <row r="419" spans="1:10" s="197" customFormat="1" x14ac:dyDescent="0.2">
      <c r="A419" s="360"/>
      <c r="B419" s="361"/>
      <c r="C419" s="361"/>
      <c r="D419" s="361"/>
      <c r="E419" s="361"/>
      <c r="F419" s="361"/>
      <c r="G419" s="363"/>
      <c r="H419" s="364"/>
      <c r="I419" s="363"/>
      <c r="J419" s="363"/>
    </row>
    <row r="420" spans="1:10" s="197" customFormat="1" x14ac:dyDescent="0.2">
      <c r="A420" s="360"/>
      <c r="B420" s="361"/>
      <c r="C420" s="361"/>
      <c r="D420" s="361"/>
      <c r="E420" s="361"/>
      <c r="F420" s="361"/>
      <c r="G420" s="363"/>
      <c r="H420" s="364"/>
      <c r="I420" s="363"/>
      <c r="J420" s="363"/>
    </row>
    <row r="421" spans="1:10" s="197" customFormat="1" x14ac:dyDescent="0.2">
      <c r="A421" s="360"/>
      <c r="B421" s="361"/>
      <c r="C421" s="361"/>
      <c r="D421" s="361"/>
      <c r="E421" s="361"/>
      <c r="F421" s="361"/>
      <c r="G421" s="363"/>
      <c r="H421" s="364"/>
      <c r="I421" s="363"/>
      <c r="J421" s="363"/>
    </row>
    <row r="422" spans="1:10" s="197" customFormat="1" x14ac:dyDescent="0.2">
      <c r="A422" s="360"/>
      <c r="B422" s="361"/>
      <c r="C422" s="361"/>
      <c r="D422" s="361"/>
      <c r="E422" s="361"/>
      <c r="F422" s="361"/>
      <c r="G422" s="363"/>
      <c r="H422" s="364"/>
      <c r="I422" s="363"/>
      <c r="J422" s="363"/>
    </row>
    <row r="423" spans="1:10" s="197" customFormat="1" x14ac:dyDescent="0.2">
      <c r="A423" s="360"/>
      <c r="B423" s="361"/>
      <c r="C423" s="361"/>
      <c r="D423" s="361"/>
      <c r="E423" s="361"/>
      <c r="F423" s="361"/>
      <c r="G423" s="363"/>
      <c r="H423" s="364"/>
      <c r="I423" s="363"/>
      <c r="J423" s="363"/>
    </row>
    <row r="424" spans="1:10" s="197" customFormat="1" x14ac:dyDescent="0.2">
      <c r="A424" s="360"/>
      <c r="B424" s="361"/>
      <c r="C424" s="361"/>
      <c r="D424" s="361"/>
      <c r="E424" s="361"/>
      <c r="F424" s="361"/>
      <c r="G424" s="363"/>
      <c r="H424" s="364"/>
      <c r="I424" s="363"/>
      <c r="J424" s="363"/>
    </row>
    <row r="425" spans="1:10" s="197" customFormat="1" x14ac:dyDescent="0.2">
      <c r="A425" s="360"/>
      <c r="B425" s="361"/>
      <c r="C425" s="361"/>
      <c r="D425" s="361"/>
      <c r="E425" s="361"/>
      <c r="F425" s="361"/>
      <c r="G425" s="363"/>
      <c r="H425" s="364"/>
      <c r="I425" s="363"/>
      <c r="J425" s="363"/>
    </row>
    <row r="426" spans="1:10" s="197" customFormat="1" x14ac:dyDescent="0.2">
      <c r="A426" s="360"/>
      <c r="B426" s="361"/>
      <c r="C426" s="361"/>
      <c r="D426" s="361"/>
      <c r="E426" s="361"/>
      <c r="F426" s="361"/>
      <c r="G426" s="363"/>
      <c r="H426" s="364"/>
      <c r="I426" s="363"/>
      <c r="J426" s="363"/>
    </row>
    <row r="427" spans="1:10" s="197" customFormat="1" x14ac:dyDescent="0.2">
      <c r="A427" s="360"/>
      <c r="B427" s="361"/>
      <c r="C427" s="361"/>
      <c r="D427" s="361"/>
      <c r="E427" s="361"/>
      <c r="F427" s="361"/>
      <c r="G427" s="363"/>
      <c r="H427" s="364"/>
      <c r="I427" s="363"/>
      <c r="J427" s="363"/>
    </row>
    <row r="428" spans="1:10" s="197" customFormat="1" x14ac:dyDescent="0.2">
      <c r="A428" s="360"/>
      <c r="B428" s="361"/>
      <c r="C428" s="361"/>
      <c r="D428" s="361"/>
      <c r="E428" s="361"/>
      <c r="F428" s="361"/>
      <c r="G428" s="363"/>
      <c r="H428" s="364"/>
      <c r="I428" s="363"/>
      <c r="J428" s="363"/>
    </row>
    <row r="429" spans="1:10" s="197" customFormat="1" x14ac:dyDescent="0.2">
      <c r="A429" s="360"/>
      <c r="B429" s="361"/>
      <c r="C429" s="361"/>
      <c r="D429" s="361"/>
      <c r="E429" s="361"/>
      <c r="F429" s="361"/>
      <c r="G429" s="363"/>
      <c r="H429" s="364"/>
      <c r="I429" s="363"/>
      <c r="J429" s="363"/>
    </row>
    <row r="430" spans="1:10" s="197" customFormat="1" x14ac:dyDescent="0.2">
      <c r="A430" s="360"/>
      <c r="B430" s="361"/>
      <c r="C430" s="361"/>
      <c r="D430" s="361"/>
      <c r="E430" s="361"/>
      <c r="F430" s="361"/>
      <c r="G430" s="363"/>
      <c r="H430" s="364"/>
      <c r="I430" s="363"/>
      <c r="J430" s="363"/>
    </row>
    <row r="431" spans="1:10" s="197" customFormat="1" x14ac:dyDescent="0.2">
      <c r="A431" s="360"/>
      <c r="B431" s="361"/>
      <c r="C431" s="361"/>
      <c r="D431" s="361"/>
      <c r="E431" s="361"/>
      <c r="F431" s="361"/>
      <c r="G431" s="363"/>
      <c r="H431" s="364"/>
      <c r="I431" s="363"/>
      <c r="J431" s="363"/>
    </row>
    <row r="432" spans="1:10" s="197" customFormat="1" x14ac:dyDescent="0.2">
      <c r="A432" s="360"/>
      <c r="B432" s="361"/>
      <c r="C432" s="361"/>
      <c r="D432" s="361"/>
      <c r="E432" s="361"/>
      <c r="F432" s="361"/>
      <c r="G432" s="363"/>
      <c r="H432" s="364"/>
      <c r="I432" s="363"/>
      <c r="J432" s="363"/>
    </row>
    <row r="433" spans="1:10" s="197" customFormat="1" x14ac:dyDescent="0.2">
      <c r="A433" s="360"/>
      <c r="B433" s="361"/>
      <c r="C433" s="361"/>
      <c r="D433" s="361"/>
      <c r="E433" s="361"/>
      <c r="F433" s="361"/>
      <c r="G433" s="363"/>
      <c r="H433" s="364"/>
      <c r="I433" s="363"/>
      <c r="J433" s="363"/>
    </row>
    <row r="434" spans="1:10" s="197" customFormat="1" x14ac:dyDescent="0.2">
      <c r="A434" s="360"/>
      <c r="B434" s="361"/>
      <c r="C434" s="361"/>
      <c r="D434" s="361"/>
      <c r="E434" s="361"/>
      <c r="F434" s="361"/>
      <c r="G434" s="363"/>
      <c r="H434" s="364"/>
      <c r="I434" s="363"/>
      <c r="J434" s="363"/>
    </row>
    <row r="435" spans="1:10" s="197" customFormat="1" x14ac:dyDescent="0.2">
      <c r="A435" s="360"/>
      <c r="B435" s="361"/>
      <c r="C435" s="361"/>
      <c r="D435" s="361"/>
      <c r="E435" s="361"/>
      <c r="F435" s="361"/>
      <c r="G435" s="363"/>
      <c r="H435" s="364"/>
      <c r="I435" s="363"/>
      <c r="J435" s="363"/>
    </row>
    <row r="436" spans="1:10" s="197" customFormat="1" x14ac:dyDescent="0.2">
      <c r="A436" s="360"/>
      <c r="B436" s="361"/>
      <c r="C436" s="361"/>
      <c r="D436" s="361"/>
      <c r="E436" s="361"/>
      <c r="F436" s="361"/>
      <c r="G436" s="363"/>
      <c r="H436" s="364"/>
      <c r="I436" s="363"/>
      <c r="J436" s="363"/>
    </row>
    <row r="437" spans="1:10" s="197" customFormat="1" x14ac:dyDescent="0.2">
      <c r="A437" s="360"/>
      <c r="B437" s="361"/>
      <c r="C437" s="361"/>
      <c r="D437" s="361"/>
      <c r="E437" s="361"/>
      <c r="F437" s="361"/>
      <c r="G437" s="363"/>
      <c r="H437" s="364"/>
      <c r="I437" s="363"/>
      <c r="J437" s="363"/>
    </row>
    <row r="438" spans="1:10" s="197" customFormat="1" x14ac:dyDescent="0.2">
      <c r="A438" s="360"/>
      <c r="B438" s="361"/>
      <c r="C438" s="361"/>
      <c r="D438" s="361"/>
      <c r="E438" s="361"/>
      <c r="F438" s="361"/>
      <c r="G438" s="363"/>
      <c r="H438" s="364"/>
      <c r="I438" s="363"/>
      <c r="J438" s="363"/>
    </row>
    <row r="439" spans="1:10" s="197" customFormat="1" x14ac:dyDescent="0.2">
      <c r="A439" s="360"/>
      <c r="B439" s="361"/>
      <c r="C439" s="361"/>
      <c r="D439" s="361"/>
      <c r="E439" s="361"/>
      <c r="F439" s="361"/>
      <c r="G439" s="363"/>
      <c r="H439" s="364"/>
      <c r="I439" s="363"/>
      <c r="J439" s="363"/>
    </row>
    <row r="440" spans="1:10" s="197" customFormat="1" x14ac:dyDescent="0.2">
      <c r="A440" s="360"/>
      <c r="B440" s="361"/>
      <c r="C440" s="361"/>
      <c r="D440" s="361"/>
      <c r="E440" s="361"/>
      <c r="F440" s="361"/>
      <c r="G440" s="363"/>
      <c r="H440" s="364"/>
      <c r="I440" s="363"/>
      <c r="J440" s="363"/>
    </row>
    <row r="441" spans="1:10" s="197" customFormat="1" x14ac:dyDescent="0.2">
      <c r="A441" s="360"/>
      <c r="B441" s="361"/>
      <c r="C441" s="361"/>
      <c r="D441" s="361"/>
      <c r="E441" s="361"/>
      <c r="F441" s="361"/>
      <c r="G441" s="363"/>
      <c r="H441" s="364"/>
      <c r="I441" s="363"/>
      <c r="J441" s="363"/>
    </row>
    <row r="442" spans="1:10" s="197" customFormat="1" x14ac:dyDescent="0.2">
      <c r="A442" s="360"/>
      <c r="B442" s="361"/>
      <c r="C442" s="361"/>
      <c r="D442" s="361"/>
      <c r="E442" s="361"/>
      <c r="F442" s="361"/>
      <c r="G442" s="363"/>
      <c r="H442" s="364"/>
      <c r="I442" s="363"/>
      <c r="J442" s="363"/>
    </row>
    <row r="443" spans="1:10" s="197" customFormat="1" x14ac:dyDescent="0.2">
      <c r="A443" s="360"/>
      <c r="B443" s="361"/>
      <c r="C443" s="361"/>
      <c r="D443" s="361"/>
      <c r="E443" s="361"/>
      <c r="F443" s="361"/>
      <c r="G443" s="363"/>
      <c r="H443" s="364"/>
      <c r="I443" s="363"/>
      <c r="J443" s="363"/>
    </row>
    <row r="444" spans="1:10" s="197" customFormat="1" x14ac:dyDescent="0.2">
      <c r="A444" s="360"/>
      <c r="B444" s="361"/>
      <c r="C444" s="361"/>
      <c r="D444" s="361"/>
      <c r="E444" s="361"/>
      <c r="F444" s="361"/>
      <c r="G444" s="363"/>
      <c r="H444" s="364"/>
      <c r="I444" s="363"/>
      <c r="J444" s="363"/>
    </row>
    <row r="445" spans="1:10" s="197" customFormat="1" x14ac:dyDescent="0.2">
      <c r="A445" s="360"/>
      <c r="B445" s="361"/>
      <c r="C445" s="361"/>
      <c r="D445" s="361"/>
      <c r="E445" s="361"/>
      <c r="F445" s="361"/>
      <c r="G445" s="363"/>
      <c r="H445" s="364"/>
      <c r="I445" s="363"/>
      <c r="J445" s="363"/>
    </row>
    <row r="446" spans="1:10" s="197" customFormat="1" x14ac:dyDescent="0.2">
      <c r="A446" s="360"/>
      <c r="B446" s="361"/>
      <c r="C446" s="361"/>
      <c r="D446" s="361"/>
      <c r="E446" s="361"/>
      <c r="F446" s="361"/>
      <c r="G446" s="363"/>
      <c r="H446" s="364"/>
      <c r="I446" s="363"/>
      <c r="J446" s="363"/>
    </row>
    <row r="447" spans="1:10" s="197" customFormat="1" x14ac:dyDescent="0.2">
      <c r="A447" s="360"/>
      <c r="B447" s="361"/>
      <c r="C447" s="361"/>
      <c r="D447" s="361"/>
      <c r="E447" s="361"/>
      <c r="F447" s="361"/>
      <c r="G447" s="363"/>
      <c r="H447" s="364"/>
      <c r="I447" s="363"/>
      <c r="J447" s="363"/>
    </row>
    <row r="448" spans="1:10" s="197" customFormat="1" x14ac:dyDescent="0.2">
      <c r="A448" s="360"/>
      <c r="B448" s="361"/>
      <c r="C448" s="361"/>
      <c r="D448" s="361"/>
      <c r="E448" s="361"/>
      <c r="F448" s="361"/>
      <c r="G448" s="363"/>
      <c r="H448" s="364"/>
      <c r="I448" s="363"/>
      <c r="J448" s="363"/>
    </row>
    <row r="449" spans="1:10" s="197" customFormat="1" x14ac:dyDescent="0.2">
      <c r="A449" s="360"/>
      <c r="B449" s="361"/>
      <c r="C449" s="361"/>
      <c r="D449" s="361"/>
      <c r="E449" s="361"/>
      <c r="F449" s="361"/>
      <c r="G449" s="363"/>
      <c r="H449" s="364"/>
      <c r="I449" s="363"/>
      <c r="J449" s="363"/>
    </row>
    <row r="450" spans="1:10" s="197" customFormat="1" x14ac:dyDescent="0.2">
      <c r="A450" s="360"/>
      <c r="B450" s="361"/>
      <c r="C450" s="361"/>
      <c r="D450" s="361"/>
      <c r="E450" s="361"/>
      <c r="F450" s="361"/>
      <c r="G450" s="363"/>
      <c r="H450" s="364"/>
      <c r="I450" s="363"/>
      <c r="J450" s="363"/>
    </row>
    <row r="451" spans="1:10" s="197" customFormat="1" x14ac:dyDescent="0.2">
      <c r="A451" s="360"/>
      <c r="B451" s="361"/>
      <c r="C451" s="361"/>
      <c r="D451" s="361"/>
      <c r="E451" s="361"/>
      <c r="F451" s="361"/>
      <c r="G451" s="363"/>
      <c r="H451" s="364"/>
      <c r="I451" s="363"/>
      <c r="J451" s="363"/>
    </row>
    <row r="452" spans="1:10" s="197" customFormat="1" x14ac:dyDescent="0.2">
      <c r="A452" s="360"/>
      <c r="B452" s="361"/>
      <c r="C452" s="361"/>
      <c r="D452" s="361"/>
      <c r="E452" s="361"/>
      <c r="F452" s="361"/>
      <c r="G452" s="363"/>
      <c r="H452" s="364"/>
      <c r="I452" s="363"/>
      <c r="J452" s="363"/>
    </row>
    <row r="453" spans="1:10" s="197" customFormat="1" x14ac:dyDescent="0.2">
      <c r="A453" s="360"/>
      <c r="B453" s="361"/>
      <c r="C453" s="361"/>
      <c r="D453" s="361"/>
      <c r="E453" s="361"/>
      <c r="F453" s="361"/>
      <c r="G453" s="363"/>
      <c r="H453" s="364"/>
      <c r="I453" s="363"/>
      <c r="J453" s="363"/>
    </row>
    <row r="454" spans="1:10" s="197" customFormat="1" x14ac:dyDescent="0.2">
      <c r="A454" s="360"/>
      <c r="B454" s="361"/>
      <c r="C454" s="361"/>
      <c r="D454" s="361"/>
      <c r="E454" s="361"/>
      <c r="F454" s="361"/>
      <c r="G454" s="363"/>
      <c r="H454" s="364"/>
      <c r="I454" s="363"/>
      <c r="J454" s="363"/>
    </row>
    <row r="455" spans="1:10" s="197" customFormat="1" x14ac:dyDescent="0.2">
      <c r="A455" s="360"/>
      <c r="B455" s="361"/>
      <c r="C455" s="361"/>
      <c r="D455" s="361"/>
      <c r="E455" s="361"/>
      <c r="F455" s="361"/>
      <c r="G455" s="363"/>
      <c r="H455" s="364"/>
      <c r="I455" s="363"/>
      <c r="J455" s="363"/>
    </row>
    <row r="456" spans="1:10" s="197" customFormat="1" x14ac:dyDescent="0.2">
      <c r="A456" s="360"/>
      <c r="B456" s="361"/>
      <c r="C456" s="361"/>
      <c r="D456" s="361"/>
      <c r="E456" s="361"/>
      <c r="F456" s="361"/>
      <c r="G456" s="363"/>
      <c r="H456" s="364"/>
      <c r="I456" s="363"/>
      <c r="J456" s="363"/>
    </row>
    <row r="457" spans="1:10" s="197" customFormat="1" x14ac:dyDescent="0.2">
      <c r="A457" s="360"/>
      <c r="B457" s="361"/>
      <c r="C457" s="361"/>
      <c r="D457" s="361"/>
      <c r="E457" s="361"/>
      <c r="F457" s="361"/>
      <c r="G457" s="363"/>
      <c r="H457" s="364"/>
      <c r="I457" s="363"/>
      <c r="J457" s="363"/>
    </row>
    <row r="458" spans="1:10" s="197" customFormat="1" x14ac:dyDescent="0.2">
      <c r="A458" s="360"/>
      <c r="B458" s="361"/>
      <c r="C458" s="361"/>
      <c r="D458" s="361"/>
      <c r="E458" s="361"/>
      <c r="F458" s="361"/>
      <c r="G458" s="363"/>
      <c r="H458" s="364"/>
      <c r="I458" s="363"/>
      <c r="J458" s="363"/>
    </row>
    <row r="459" spans="1:10" s="197" customFormat="1" x14ac:dyDescent="0.2">
      <c r="A459" s="360"/>
      <c r="B459" s="361"/>
      <c r="C459" s="361"/>
      <c r="D459" s="361"/>
      <c r="E459" s="361"/>
      <c r="F459" s="361"/>
      <c r="G459" s="363"/>
      <c r="H459" s="364"/>
      <c r="I459" s="363"/>
      <c r="J459" s="363"/>
    </row>
    <row r="460" spans="1:10" s="197" customFormat="1" x14ac:dyDescent="0.2">
      <c r="A460" s="360"/>
      <c r="B460" s="361"/>
      <c r="C460" s="361"/>
      <c r="D460" s="361"/>
      <c r="E460" s="361"/>
      <c r="F460" s="361"/>
      <c r="G460" s="363"/>
      <c r="H460" s="364"/>
      <c r="I460" s="363"/>
      <c r="J460" s="363"/>
    </row>
    <row r="461" spans="1:10" s="197" customFormat="1" x14ac:dyDescent="0.2">
      <c r="A461" s="360"/>
      <c r="B461" s="361"/>
      <c r="C461" s="361"/>
      <c r="D461" s="361"/>
      <c r="E461" s="361"/>
      <c r="F461" s="361"/>
      <c r="G461" s="363"/>
      <c r="H461" s="364"/>
      <c r="I461" s="363"/>
      <c r="J461" s="363"/>
    </row>
    <row r="462" spans="1:10" s="197" customFormat="1" x14ac:dyDescent="0.2">
      <c r="A462" s="360"/>
      <c r="B462" s="361"/>
      <c r="C462" s="361"/>
      <c r="D462" s="361"/>
      <c r="E462" s="361"/>
      <c r="F462" s="361"/>
      <c r="G462" s="363"/>
      <c r="H462" s="364"/>
      <c r="I462" s="363"/>
      <c r="J462" s="363"/>
    </row>
    <row r="463" spans="1:10" s="197" customFormat="1" x14ac:dyDescent="0.2">
      <c r="A463" s="360"/>
      <c r="B463" s="361"/>
      <c r="C463" s="361"/>
      <c r="D463" s="361"/>
      <c r="E463" s="361"/>
      <c r="F463" s="361"/>
      <c r="G463" s="363"/>
      <c r="H463" s="364"/>
      <c r="I463" s="363"/>
      <c r="J463" s="363"/>
    </row>
    <row r="464" spans="1:10" s="197" customFormat="1" x14ac:dyDescent="0.2">
      <c r="A464" s="360"/>
      <c r="B464" s="361"/>
      <c r="C464" s="361"/>
      <c r="D464" s="361"/>
      <c r="E464" s="361"/>
      <c r="F464" s="361"/>
      <c r="G464" s="363"/>
      <c r="H464" s="364"/>
      <c r="I464" s="363"/>
      <c r="J464" s="363"/>
    </row>
    <row r="465" spans="1:10" s="197" customFormat="1" x14ac:dyDescent="0.2">
      <c r="A465" s="360"/>
      <c r="B465" s="361"/>
      <c r="C465" s="361"/>
      <c r="D465" s="361"/>
      <c r="E465" s="361"/>
      <c r="F465" s="361"/>
      <c r="G465" s="363"/>
      <c r="H465" s="364"/>
      <c r="I465" s="363"/>
      <c r="J465" s="363"/>
    </row>
    <row r="466" spans="1:10" s="197" customFormat="1" x14ac:dyDescent="0.2">
      <c r="A466" s="360"/>
      <c r="B466" s="361"/>
      <c r="C466" s="361"/>
      <c r="D466" s="361"/>
      <c r="E466" s="361"/>
      <c r="F466" s="361"/>
      <c r="G466" s="363"/>
      <c r="H466" s="364"/>
      <c r="I466" s="363"/>
      <c r="J466" s="363"/>
    </row>
    <row r="467" spans="1:10" s="197" customFormat="1" x14ac:dyDescent="0.2">
      <c r="A467" s="360"/>
      <c r="B467" s="361"/>
      <c r="C467" s="361"/>
      <c r="D467" s="361"/>
      <c r="E467" s="361"/>
      <c r="F467" s="361"/>
      <c r="G467" s="363"/>
      <c r="H467" s="364"/>
      <c r="I467" s="363"/>
      <c r="J467" s="363"/>
    </row>
    <row r="468" spans="1:10" s="197" customFormat="1" x14ac:dyDescent="0.2">
      <c r="A468" s="360"/>
      <c r="B468" s="361"/>
      <c r="C468" s="361"/>
      <c r="D468" s="361"/>
      <c r="E468" s="361"/>
      <c r="F468" s="361"/>
      <c r="G468" s="363"/>
      <c r="H468" s="364"/>
      <c r="I468" s="363"/>
      <c r="J468" s="363"/>
    </row>
    <row r="469" spans="1:10" s="197" customFormat="1" x14ac:dyDescent="0.2">
      <c r="A469" s="360"/>
      <c r="B469" s="361"/>
      <c r="C469" s="361"/>
      <c r="D469" s="361"/>
      <c r="E469" s="361"/>
      <c r="F469" s="361"/>
      <c r="G469" s="363"/>
      <c r="H469" s="364"/>
      <c r="I469" s="363"/>
      <c r="J469" s="363"/>
    </row>
    <row r="470" spans="1:10" s="197" customFormat="1" x14ac:dyDescent="0.2">
      <c r="A470" s="360"/>
      <c r="B470" s="361"/>
      <c r="C470" s="361"/>
      <c r="D470" s="361"/>
      <c r="E470" s="361"/>
      <c r="F470" s="361"/>
      <c r="G470" s="363"/>
      <c r="H470" s="364"/>
      <c r="I470" s="363"/>
      <c r="J470" s="363"/>
    </row>
    <row r="471" spans="1:10" s="197" customFormat="1" x14ac:dyDescent="0.2">
      <c r="A471" s="360"/>
      <c r="B471" s="361"/>
      <c r="C471" s="361"/>
      <c r="D471" s="361"/>
      <c r="E471" s="361"/>
      <c r="F471" s="361"/>
      <c r="G471" s="363"/>
      <c r="H471" s="364"/>
      <c r="I471" s="363"/>
      <c r="J471" s="363"/>
    </row>
    <row r="472" spans="1:10" s="197" customFormat="1" x14ac:dyDescent="0.2">
      <c r="A472" s="360"/>
      <c r="B472" s="361"/>
      <c r="C472" s="361"/>
      <c r="D472" s="361"/>
      <c r="E472" s="361"/>
      <c r="F472" s="361"/>
      <c r="G472" s="363"/>
      <c r="H472" s="364"/>
      <c r="I472" s="363"/>
      <c r="J472" s="363"/>
    </row>
    <row r="473" spans="1:10" s="197" customFormat="1" x14ac:dyDescent="0.2">
      <c r="A473" s="360"/>
      <c r="B473" s="361"/>
      <c r="C473" s="361"/>
      <c r="D473" s="361"/>
      <c r="E473" s="361"/>
      <c r="F473" s="361"/>
      <c r="G473" s="363"/>
      <c r="H473" s="364"/>
      <c r="I473" s="363"/>
      <c r="J473" s="363"/>
    </row>
    <row r="474" spans="1:10" s="197" customFormat="1" x14ac:dyDescent="0.2">
      <c r="A474" s="360"/>
      <c r="B474" s="361"/>
      <c r="C474" s="361"/>
      <c r="D474" s="361"/>
      <c r="E474" s="361"/>
      <c r="F474" s="361"/>
      <c r="G474" s="363"/>
      <c r="H474" s="364"/>
      <c r="I474" s="363"/>
      <c r="J474" s="363"/>
    </row>
    <row r="475" spans="1:10" s="197" customFormat="1" x14ac:dyDescent="0.2">
      <c r="A475" s="360"/>
      <c r="B475" s="361"/>
      <c r="C475" s="361"/>
      <c r="D475" s="361"/>
      <c r="E475" s="361"/>
      <c r="F475" s="361"/>
      <c r="G475" s="363"/>
      <c r="H475" s="364"/>
      <c r="I475" s="363"/>
      <c r="J475" s="363"/>
    </row>
    <row r="476" spans="1:10" s="197" customFormat="1" x14ac:dyDescent="0.2">
      <c r="A476" s="360"/>
      <c r="B476" s="361"/>
      <c r="C476" s="361"/>
      <c r="D476" s="361"/>
      <c r="E476" s="361"/>
      <c r="F476" s="361"/>
      <c r="G476" s="363"/>
      <c r="H476" s="364"/>
      <c r="I476" s="363"/>
      <c r="J476" s="363"/>
    </row>
    <row r="477" spans="1:10" s="197" customFormat="1" x14ac:dyDescent="0.2">
      <c r="A477" s="360"/>
      <c r="B477" s="361"/>
      <c r="C477" s="361"/>
      <c r="D477" s="361"/>
      <c r="E477" s="361"/>
      <c r="F477" s="361"/>
      <c r="G477" s="363"/>
      <c r="H477" s="364"/>
      <c r="I477" s="363"/>
      <c r="J477" s="363"/>
    </row>
    <row r="478" spans="1:10" s="197" customFormat="1" x14ac:dyDescent="0.2">
      <c r="A478" s="360"/>
      <c r="B478" s="361"/>
      <c r="C478" s="361"/>
      <c r="D478" s="361"/>
      <c r="E478" s="361"/>
      <c r="F478" s="361"/>
      <c r="G478" s="363"/>
      <c r="H478" s="364"/>
      <c r="I478" s="363"/>
      <c r="J478" s="363"/>
    </row>
    <row r="479" spans="1:10" s="197" customFormat="1" x14ac:dyDescent="0.2">
      <c r="A479" s="360"/>
      <c r="B479" s="361"/>
      <c r="C479" s="361"/>
      <c r="D479" s="361"/>
      <c r="E479" s="361"/>
      <c r="F479" s="361"/>
      <c r="G479" s="363"/>
      <c r="H479" s="364"/>
      <c r="I479" s="363"/>
      <c r="J479" s="363"/>
    </row>
    <row r="480" spans="1:10" s="197" customFormat="1" x14ac:dyDescent="0.2">
      <c r="A480" s="360"/>
      <c r="B480" s="361"/>
      <c r="C480" s="361"/>
      <c r="D480" s="361"/>
      <c r="E480" s="361"/>
      <c r="F480" s="361"/>
      <c r="G480" s="363"/>
      <c r="H480" s="364"/>
      <c r="I480" s="363"/>
      <c r="J480" s="363"/>
    </row>
    <row r="481" spans="1:10" s="197" customFormat="1" x14ac:dyDescent="0.2">
      <c r="A481" s="360"/>
      <c r="B481" s="361"/>
      <c r="C481" s="361"/>
      <c r="D481" s="361"/>
      <c r="E481" s="361"/>
      <c r="F481" s="361"/>
      <c r="G481" s="363"/>
      <c r="H481" s="364"/>
      <c r="I481" s="363"/>
      <c r="J481" s="363"/>
    </row>
    <row r="482" spans="1:10" s="197" customFormat="1" x14ac:dyDescent="0.2">
      <c r="A482" s="360"/>
      <c r="B482" s="361"/>
      <c r="C482" s="361"/>
      <c r="D482" s="361"/>
      <c r="E482" s="361"/>
      <c r="F482" s="361"/>
      <c r="G482" s="363"/>
      <c r="H482" s="364"/>
      <c r="I482" s="363"/>
      <c r="J482" s="363"/>
    </row>
    <row r="483" spans="1:10" s="197" customFormat="1" x14ac:dyDescent="0.2">
      <c r="A483" s="360"/>
      <c r="B483" s="361"/>
      <c r="C483" s="361"/>
      <c r="D483" s="361"/>
      <c r="E483" s="361"/>
      <c r="F483" s="361"/>
      <c r="G483" s="363"/>
      <c r="H483" s="364"/>
      <c r="I483" s="363"/>
      <c r="J483" s="363"/>
    </row>
    <row r="484" spans="1:10" s="197" customFormat="1" x14ac:dyDescent="0.2">
      <c r="A484" s="360"/>
      <c r="B484" s="361"/>
      <c r="C484" s="361"/>
      <c r="D484" s="361"/>
      <c r="E484" s="361"/>
      <c r="F484" s="361"/>
      <c r="G484" s="363"/>
      <c r="H484" s="364"/>
      <c r="I484" s="363"/>
      <c r="J484" s="363"/>
    </row>
    <row r="485" spans="1:10" s="197" customFormat="1" x14ac:dyDescent="0.2">
      <c r="A485" s="360"/>
      <c r="B485" s="361"/>
      <c r="C485" s="361"/>
      <c r="D485" s="361"/>
      <c r="E485" s="361"/>
      <c r="F485" s="361"/>
      <c r="G485" s="363"/>
      <c r="H485" s="364"/>
      <c r="I485" s="363"/>
      <c r="J485" s="363"/>
    </row>
    <row r="486" spans="1:10" s="197" customFormat="1" x14ac:dyDescent="0.2">
      <c r="A486" s="360"/>
      <c r="B486" s="361"/>
      <c r="C486" s="361"/>
      <c r="D486" s="361"/>
      <c r="E486" s="361"/>
      <c r="F486" s="361"/>
      <c r="G486" s="363"/>
      <c r="H486" s="364"/>
      <c r="I486" s="363"/>
      <c r="J486" s="363"/>
    </row>
    <row r="487" spans="1:10" s="197" customFormat="1" x14ac:dyDescent="0.2">
      <c r="A487" s="360"/>
      <c r="B487" s="361"/>
      <c r="C487" s="361"/>
      <c r="D487" s="361"/>
      <c r="E487" s="361"/>
      <c r="F487" s="361"/>
      <c r="G487" s="363"/>
      <c r="H487" s="364"/>
      <c r="I487" s="363"/>
      <c r="J487" s="363"/>
    </row>
    <row r="488" spans="1:10" s="197" customFormat="1" x14ac:dyDescent="0.2">
      <c r="A488" s="360"/>
      <c r="B488" s="361"/>
      <c r="C488" s="361"/>
      <c r="D488" s="361"/>
      <c r="E488" s="361"/>
      <c r="F488" s="361"/>
      <c r="G488" s="363"/>
      <c r="H488" s="364"/>
      <c r="I488" s="363"/>
      <c r="J488" s="363"/>
    </row>
    <row r="489" spans="1:10" s="197" customFormat="1" x14ac:dyDescent="0.2">
      <c r="A489" s="360"/>
      <c r="B489" s="361"/>
      <c r="C489" s="361"/>
      <c r="D489" s="361"/>
      <c r="E489" s="361"/>
      <c r="F489" s="361"/>
      <c r="G489" s="363"/>
      <c r="H489" s="364"/>
      <c r="I489" s="363"/>
      <c r="J489" s="363"/>
    </row>
    <row r="490" spans="1:10" s="197" customFormat="1" x14ac:dyDescent="0.2">
      <c r="A490" s="360"/>
      <c r="B490" s="361"/>
      <c r="C490" s="361"/>
      <c r="D490" s="361"/>
      <c r="E490" s="361"/>
      <c r="F490" s="361"/>
      <c r="G490" s="363"/>
      <c r="H490" s="364"/>
      <c r="I490" s="363"/>
      <c r="J490" s="363"/>
    </row>
    <row r="491" spans="1:10" s="197" customFormat="1" x14ac:dyDescent="0.2">
      <c r="A491" s="360"/>
      <c r="B491" s="361"/>
      <c r="C491" s="361"/>
      <c r="D491" s="361"/>
      <c r="E491" s="361"/>
      <c r="F491" s="361"/>
      <c r="G491" s="363"/>
      <c r="H491" s="364"/>
      <c r="I491" s="363"/>
      <c r="J491" s="363"/>
    </row>
    <row r="492" spans="1:10" s="197" customFormat="1" x14ac:dyDescent="0.2">
      <c r="A492" s="360"/>
      <c r="B492" s="361"/>
      <c r="C492" s="361"/>
      <c r="D492" s="361"/>
      <c r="E492" s="361"/>
      <c r="F492" s="361"/>
      <c r="G492" s="363"/>
      <c r="H492" s="364"/>
      <c r="I492" s="363"/>
      <c r="J492" s="363"/>
    </row>
    <row r="493" spans="1:10" s="197" customFormat="1" x14ac:dyDescent="0.2">
      <c r="A493" s="360"/>
      <c r="B493" s="361"/>
      <c r="C493" s="361"/>
      <c r="D493" s="361"/>
      <c r="E493" s="361"/>
      <c r="F493" s="361"/>
      <c r="G493" s="363"/>
      <c r="H493" s="364"/>
      <c r="I493" s="363"/>
      <c r="J493" s="363"/>
    </row>
    <row r="494" spans="1:10" s="197" customFormat="1" x14ac:dyDescent="0.2">
      <c r="A494" s="360"/>
      <c r="B494" s="361"/>
      <c r="C494" s="361"/>
      <c r="D494" s="361"/>
      <c r="E494" s="361"/>
      <c r="F494" s="361"/>
      <c r="G494" s="363"/>
      <c r="H494" s="364"/>
      <c r="I494" s="363"/>
      <c r="J494" s="363"/>
    </row>
    <row r="495" spans="1:10" s="197" customFormat="1" x14ac:dyDescent="0.2">
      <c r="A495" s="360"/>
      <c r="B495" s="361"/>
      <c r="C495" s="361"/>
      <c r="D495" s="361"/>
      <c r="E495" s="361"/>
      <c r="F495" s="361"/>
      <c r="G495" s="363"/>
      <c r="H495" s="364"/>
      <c r="I495" s="363"/>
      <c r="J495" s="363"/>
    </row>
    <row r="496" spans="1:10" s="197" customFormat="1" x14ac:dyDescent="0.2">
      <c r="A496" s="360"/>
      <c r="B496" s="361"/>
      <c r="C496" s="361"/>
      <c r="D496" s="361"/>
      <c r="E496" s="361"/>
      <c r="F496" s="361"/>
      <c r="G496" s="363"/>
      <c r="H496" s="364"/>
      <c r="I496" s="363"/>
      <c r="J496" s="363"/>
    </row>
    <row r="497" spans="1:10" s="197" customFormat="1" x14ac:dyDescent="0.2">
      <c r="A497" s="360"/>
      <c r="B497" s="361"/>
      <c r="C497" s="361"/>
      <c r="D497" s="361"/>
      <c r="E497" s="361"/>
      <c r="F497" s="361"/>
      <c r="G497" s="363"/>
      <c r="H497" s="364"/>
      <c r="I497" s="363"/>
      <c r="J497" s="363"/>
    </row>
    <row r="498" spans="1:10" s="197" customFormat="1" x14ac:dyDescent="0.2">
      <c r="A498" s="360"/>
      <c r="B498" s="361"/>
      <c r="C498" s="361"/>
      <c r="D498" s="361"/>
      <c r="E498" s="361"/>
      <c r="F498" s="361"/>
      <c r="G498" s="363"/>
      <c r="H498" s="364"/>
      <c r="I498" s="363"/>
      <c r="J498" s="363"/>
    </row>
    <row r="499" spans="1:10" s="197" customFormat="1" x14ac:dyDescent="0.2">
      <c r="A499" s="360"/>
      <c r="B499" s="361"/>
      <c r="C499" s="361"/>
      <c r="D499" s="361"/>
      <c r="E499" s="361"/>
      <c r="F499" s="361"/>
      <c r="G499" s="363"/>
      <c r="H499" s="364"/>
      <c r="I499" s="363"/>
      <c r="J499" s="363"/>
    </row>
    <row r="500" spans="1:10" s="197" customFormat="1" x14ac:dyDescent="0.2">
      <c r="A500" s="360"/>
      <c r="B500" s="361"/>
      <c r="C500" s="361"/>
      <c r="D500" s="361"/>
      <c r="E500" s="361"/>
      <c r="F500" s="361"/>
      <c r="G500" s="363"/>
      <c r="H500" s="364"/>
      <c r="I500" s="363"/>
      <c r="J500" s="363"/>
    </row>
    <row r="501" spans="1:10" s="197" customFormat="1" x14ac:dyDescent="0.2">
      <c r="A501" s="360"/>
      <c r="B501" s="361"/>
      <c r="C501" s="361"/>
      <c r="D501" s="361"/>
      <c r="E501" s="361"/>
      <c r="F501" s="361"/>
      <c r="G501" s="363"/>
      <c r="H501" s="364"/>
      <c r="I501" s="363"/>
      <c r="J501" s="363"/>
    </row>
    <row r="502" spans="1:10" s="197" customFormat="1" x14ac:dyDescent="0.2">
      <c r="A502" s="360"/>
      <c r="B502" s="361"/>
      <c r="C502" s="361"/>
      <c r="D502" s="361"/>
      <c r="E502" s="361"/>
      <c r="F502" s="361"/>
      <c r="G502" s="363"/>
      <c r="H502" s="364"/>
      <c r="I502" s="363"/>
      <c r="J502" s="363"/>
    </row>
    <row r="503" spans="1:10" s="197" customFormat="1" x14ac:dyDescent="0.2">
      <c r="A503" s="360"/>
      <c r="B503" s="361"/>
      <c r="C503" s="361"/>
      <c r="D503" s="361"/>
      <c r="E503" s="361"/>
      <c r="F503" s="361"/>
      <c r="G503" s="363"/>
      <c r="H503" s="364"/>
      <c r="I503" s="363"/>
      <c r="J503" s="363"/>
    </row>
    <row r="504" spans="1:10" s="197" customFormat="1" x14ac:dyDescent="0.2">
      <c r="A504" s="360"/>
      <c r="B504" s="361"/>
      <c r="C504" s="361"/>
      <c r="D504" s="361"/>
      <c r="E504" s="361"/>
      <c r="F504" s="361"/>
      <c r="G504" s="363"/>
      <c r="H504" s="364"/>
      <c r="I504" s="363"/>
      <c r="J504" s="363"/>
    </row>
    <row r="505" spans="1:10" s="197" customFormat="1" x14ac:dyDescent="0.2">
      <c r="A505" s="360"/>
      <c r="B505" s="361"/>
      <c r="C505" s="361"/>
      <c r="D505" s="361"/>
      <c r="E505" s="361"/>
      <c r="F505" s="361"/>
      <c r="G505" s="363"/>
      <c r="H505" s="364"/>
      <c r="I505" s="363"/>
      <c r="J505" s="363"/>
    </row>
    <row r="506" spans="1:10" s="197" customFormat="1" x14ac:dyDescent="0.2">
      <c r="A506" s="360"/>
      <c r="B506" s="361"/>
      <c r="C506" s="361"/>
      <c r="D506" s="361"/>
      <c r="E506" s="361"/>
      <c r="F506" s="361"/>
      <c r="G506" s="363"/>
      <c r="H506" s="364"/>
      <c r="I506" s="363"/>
      <c r="J506" s="363"/>
    </row>
    <row r="507" spans="1:10" s="197" customFormat="1" x14ac:dyDescent="0.2">
      <c r="A507" s="360"/>
      <c r="B507" s="361"/>
      <c r="C507" s="361"/>
      <c r="D507" s="361"/>
      <c r="E507" s="361"/>
      <c r="F507" s="361"/>
      <c r="G507" s="363"/>
      <c r="H507" s="364"/>
      <c r="I507" s="363"/>
      <c r="J507" s="363"/>
    </row>
    <row r="508" spans="1:10" s="197" customFormat="1" x14ac:dyDescent="0.2">
      <c r="A508" s="360"/>
      <c r="B508" s="361"/>
      <c r="C508" s="361"/>
      <c r="D508" s="361"/>
      <c r="E508" s="361"/>
      <c r="F508" s="361"/>
      <c r="G508" s="363"/>
      <c r="H508" s="364"/>
      <c r="I508" s="363"/>
      <c r="J508" s="363"/>
    </row>
    <row r="509" spans="1:10" s="197" customFormat="1" x14ac:dyDescent="0.2">
      <c r="A509" s="360"/>
      <c r="B509" s="361"/>
      <c r="C509" s="361"/>
      <c r="D509" s="361"/>
      <c r="E509" s="361"/>
      <c r="F509" s="361"/>
      <c r="G509" s="363"/>
      <c r="H509" s="364"/>
      <c r="I509" s="363"/>
      <c r="J509" s="363"/>
    </row>
    <row r="510" spans="1:10" s="197" customFormat="1" x14ac:dyDescent="0.2">
      <c r="A510" s="360"/>
      <c r="B510" s="361"/>
      <c r="C510" s="361"/>
      <c r="D510" s="361"/>
      <c r="E510" s="361"/>
      <c r="F510" s="361"/>
      <c r="G510" s="363"/>
      <c r="H510" s="364"/>
      <c r="I510" s="363"/>
      <c r="J510" s="363"/>
    </row>
    <row r="511" spans="1:10" s="197" customFormat="1" x14ac:dyDescent="0.2">
      <c r="A511" s="360"/>
      <c r="B511" s="361"/>
      <c r="C511" s="361"/>
      <c r="D511" s="361"/>
      <c r="E511" s="361"/>
      <c r="F511" s="361"/>
      <c r="G511" s="363"/>
      <c r="H511" s="364"/>
      <c r="I511" s="363"/>
      <c r="J511" s="363"/>
    </row>
    <row r="512" spans="1:10" s="197" customFormat="1" x14ac:dyDescent="0.2">
      <c r="A512" s="360"/>
      <c r="B512" s="361"/>
      <c r="C512" s="361"/>
      <c r="D512" s="361"/>
      <c r="E512" s="361"/>
      <c r="F512" s="361"/>
      <c r="G512" s="363"/>
      <c r="H512" s="364"/>
      <c r="I512" s="363"/>
      <c r="J512" s="363"/>
    </row>
    <row r="513" spans="1:10" s="197" customFormat="1" x14ac:dyDescent="0.2">
      <c r="A513" s="360"/>
      <c r="B513" s="361"/>
      <c r="C513" s="361"/>
      <c r="D513" s="361"/>
      <c r="E513" s="361"/>
      <c r="F513" s="361"/>
      <c r="G513" s="363"/>
      <c r="H513" s="364"/>
      <c r="I513" s="363"/>
      <c r="J513" s="363"/>
    </row>
    <row r="514" spans="1:10" s="197" customFormat="1" x14ac:dyDescent="0.2">
      <c r="A514" s="360"/>
      <c r="B514" s="361"/>
      <c r="C514" s="361"/>
      <c r="D514" s="361"/>
      <c r="E514" s="361"/>
      <c r="F514" s="361"/>
      <c r="G514" s="363"/>
      <c r="H514" s="364"/>
      <c r="I514" s="363"/>
      <c r="J514" s="363"/>
    </row>
    <row r="515" spans="1:10" s="197" customFormat="1" x14ac:dyDescent="0.2">
      <c r="A515" s="360"/>
      <c r="B515" s="361"/>
      <c r="C515" s="361"/>
      <c r="D515" s="361"/>
      <c r="E515" s="361"/>
      <c r="F515" s="361"/>
      <c r="G515" s="363"/>
      <c r="H515" s="364"/>
      <c r="I515" s="363"/>
      <c r="J515" s="363"/>
    </row>
    <row r="516" spans="1:10" s="197" customFormat="1" x14ac:dyDescent="0.2">
      <c r="A516" s="360"/>
      <c r="B516" s="361"/>
      <c r="C516" s="361"/>
      <c r="D516" s="361"/>
      <c r="E516" s="361"/>
      <c r="F516" s="361"/>
      <c r="G516" s="363"/>
      <c r="H516" s="364"/>
      <c r="I516" s="363"/>
      <c r="J516" s="363"/>
    </row>
    <row r="517" spans="1:10" s="197" customFormat="1" x14ac:dyDescent="0.2">
      <c r="A517" s="360"/>
      <c r="B517" s="361"/>
      <c r="C517" s="361"/>
      <c r="D517" s="361"/>
      <c r="E517" s="361"/>
      <c r="F517" s="361"/>
      <c r="G517" s="363"/>
      <c r="H517" s="364"/>
      <c r="I517" s="363"/>
      <c r="J517" s="363"/>
    </row>
    <row r="518" spans="1:10" s="197" customFormat="1" x14ac:dyDescent="0.2">
      <c r="A518" s="360"/>
      <c r="B518" s="361"/>
      <c r="C518" s="361"/>
      <c r="D518" s="361"/>
      <c r="E518" s="361"/>
      <c r="F518" s="361"/>
      <c r="G518" s="363"/>
      <c r="H518" s="364"/>
      <c r="I518" s="363"/>
      <c r="J518" s="363"/>
    </row>
    <row r="519" spans="1:10" s="197" customFormat="1" x14ac:dyDescent="0.2">
      <c r="A519" s="360"/>
      <c r="B519" s="361"/>
      <c r="C519" s="361"/>
      <c r="D519" s="361"/>
      <c r="E519" s="361"/>
      <c r="F519" s="361"/>
      <c r="G519" s="363"/>
      <c r="H519" s="364"/>
      <c r="I519" s="363"/>
      <c r="J519" s="363"/>
    </row>
    <row r="520" spans="1:10" s="197" customFormat="1" x14ac:dyDescent="0.2">
      <c r="A520" s="360"/>
      <c r="B520" s="361"/>
      <c r="C520" s="361"/>
      <c r="D520" s="361"/>
      <c r="E520" s="361"/>
      <c r="F520" s="361"/>
      <c r="G520" s="363"/>
      <c r="H520" s="364"/>
      <c r="I520" s="363"/>
      <c r="J520" s="363"/>
    </row>
    <row r="521" spans="1:10" s="197" customFormat="1" x14ac:dyDescent="0.2">
      <c r="A521" s="360"/>
      <c r="B521" s="361"/>
      <c r="C521" s="361"/>
      <c r="D521" s="361"/>
      <c r="E521" s="361"/>
      <c r="F521" s="361"/>
      <c r="G521" s="363"/>
      <c r="H521" s="364"/>
      <c r="I521" s="363"/>
      <c r="J521" s="363"/>
    </row>
    <row r="522" spans="1:10" s="197" customFormat="1" x14ac:dyDescent="0.2">
      <c r="A522" s="360"/>
      <c r="B522" s="361"/>
      <c r="C522" s="361"/>
      <c r="D522" s="361"/>
      <c r="E522" s="361"/>
      <c r="F522" s="361"/>
      <c r="G522" s="363"/>
      <c r="H522" s="364"/>
      <c r="I522" s="363"/>
      <c r="J522" s="363"/>
    </row>
    <row r="523" spans="1:10" s="197" customFormat="1" x14ac:dyDescent="0.2">
      <c r="A523" s="360"/>
      <c r="B523" s="361"/>
      <c r="C523" s="361"/>
      <c r="D523" s="361"/>
      <c r="E523" s="361"/>
      <c r="F523" s="361"/>
      <c r="G523" s="363"/>
      <c r="H523" s="364"/>
      <c r="I523" s="363"/>
      <c r="J523" s="363"/>
    </row>
    <row r="524" spans="1:10" s="197" customFormat="1" x14ac:dyDescent="0.2">
      <c r="A524" s="360"/>
      <c r="B524" s="361"/>
      <c r="C524" s="361"/>
      <c r="D524" s="361"/>
      <c r="E524" s="361"/>
      <c r="F524" s="361"/>
      <c r="G524" s="363"/>
      <c r="H524" s="364"/>
      <c r="I524" s="363"/>
      <c r="J524" s="363"/>
    </row>
    <row r="525" spans="1:10" s="197" customFormat="1" x14ac:dyDescent="0.2">
      <c r="A525" s="360"/>
      <c r="B525" s="361"/>
      <c r="C525" s="361"/>
      <c r="D525" s="361"/>
      <c r="E525" s="361"/>
      <c r="F525" s="361"/>
      <c r="G525" s="363"/>
      <c r="H525" s="364"/>
      <c r="I525" s="363"/>
      <c r="J525" s="363"/>
    </row>
    <row r="526" spans="1:10" s="197" customFormat="1" x14ac:dyDescent="0.2">
      <c r="A526" s="360"/>
      <c r="B526" s="361"/>
      <c r="C526" s="361"/>
      <c r="D526" s="361"/>
      <c r="E526" s="361"/>
      <c r="F526" s="361"/>
      <c r="G526" s="363"/>
      <c r="H526" s="364"/>
      <c r="I526" s="363"/>
      <c r="J526" s="363"/>
    </row>
    <row r="527" spans="1:10" s="197" customFormat="1" x14ac:dyDescent="0.2">
      <c r="A527" s="360"/>
      <c r="B527" s="361"/>
      <c r="C527" s="361"/>
      <c r="D527" s="361"/>
      <c r="E527" s="361"/>
      <c r="F527" s="361"/>
      <c r="G527" s="363"/>
      <c r="H527" s="364"/>
      <c r="I527" s="363"/>
      <c r="J527" s="363"/>
    </row>
    <row r="528" spans="1:10" s="197" customFormat="1" x14ac:dyDescent="0.2">
      <c r="A528" s="360"/>
      <c r="B528" s="361"/>
      <c r="C528" s="361"/>
      <c r="D528" s="361"/>
      <c r="E528" s="361"/>
      <c r="F528" s="361"/>
      <c r="G528" s="363"/>
      <c r="H528" s="364"/>
      <c r="I528" s="363"/>
      <c r="J528" s="363"/>
    </row>
    <row r="529" spans="1:10" s="197" customFormat="1" x14ac:dyDescent="0.2">
      <c r="A529" s="360"/>
      <c r="B529" s="361"/>
      <c r="C529" s="361"/>
      <c r="D529" s="361"/>
      <c r="E529" s="361"/>
      <c r="F529" s="361"/>
      <c r="G529" s="363"/>
      <c r="H529" s="364"/>
      <c r="I529" s="363"/>
      <c r="J529" s="363"/>
    </row>
    <row r="530" spans="1:10" s="197" customFormat="1" x14ac:dyDescent="0.2">
      <c r="A530" s="360"/>
      <c r="B530" s="361"/>
      <c r="C530" s="361"/>
      <c r="D530" s="361"/>
      <c r="E530" s="361"/>
      <c r="F530" s="361"/>
      <c r="G530" s="363"/>
      <c r="H530" s="364"/>
      <c r="I530" s="363"/>
      <c r="J530" s="363"/>
    </row>
    <row r="531" spans="1:10" s="197" customFormat="1" x14ac:dyDescent="0.2">
      <c r="A531" s="360"/>
      <c r="B531" s="361"/>
      <c r="C531" s="361"/>
      <c r="D531" s="361"/>
      <c r="E531" s="361"/>
      <c r="F531" s="361"/>
      <c r="G531" s="363"/>
      <c r="H531" s="364"/>
      <c r="I531" s="363"/>
      <c r="J531" s="363"/>
    </row>
    <row r="532" spans="1:10" s="197" customFormat="1" x14ac:dyDescent="0.2">
      <c r="A532" s="360"/>
      <c r="B532" s="361"/>
      <c r="C532" s="361"/>
      <c r="D532" s="361"/>
      <c r="E532" s="361"/>
      <c r="F532" s="361"/>
      <c r="G532" s="363"/>
      <c r="H532" s="364"/>
      <c r="I532" s="363"/>
      <c r="J532" s="363"/>
    </row>
    <row r="533" spans="1:10" s="197" customFormat="1" x14ac:dyDescent="0.2">
      <c r="A533" s="360"/>
      <c r="B533" s="361"/>
      <c r="C533" s="361"/>
      <c r="D533" s="361"/>
      <c r="E533" s="361"/>
      <c r="F533" s="361"/>
      <c r="G533" s="363"/>
      <c r="H533" s="364"/>
      <c r="I533" s="363"/>
      <c r="J533" s="363"/>
    </row>
    <row r="534" spans="1:10" s="197" customFormat="1" x14ac:dyDescent="0.2">
      <c r="A534" s="360"/>
      <c r="B534" s="361"/>
      <c r="C534" s="361"/>
      <c r="D534" s="361"/>
      <c r="E534" s="361"/>
      <c r="F534" s="361"/>
      <c r="G534" s="363"/>
      <c r="H534" s="364"/>
      <c r="I534" s="363"/>
      <c r="J534" s="363"/>
    </row>
    <row r="535" spans="1:10" s="197" customFormat="1" x14ac:dyDescent="0.2">
      <c r="A535" s="360"/>
      <c r="B535" s="361"/>
      <c r="C535" s="361"/>
      <c r="D535" s="361"/>
      <c r="E535" s="361"/>
      <c r="F535" s="361"/>
      <c r="G535" s="363"/>
      <c r="H535" s="364"/>
      <c r="I535" s="363"/>
      <c r="J535" s="363"/>
    </row>
    <row r="536" spans="1:10" s="197" customFormat="1" x14ac:dyDescent="0.2">
      <c r="A536" s="360"/>
      <c r="B536" s="361"/>
      <c r="C536" s="361"/>
      <c r="D536" s="361"/>
      <c r="E536" s="361"/>
      <c r="F536" s="361"/>
      <c r="G536" s="363"/>
      <c r="H536" s="364"/>
      <c r="I536" s="363"/>
      <c r="J536" s="363"/>
    </row>
    <row r="537" spans="1:10" s="197" customFormat="1" x14ac:dyDescent="0.2">
      <c r="A537" s="360"/>
      <c r="B537" s="361"/>
      <c r="C537" s="361"/>
      <c r="D537" s="361"/>
      <c r="E537" s="361"/>
      <c r="F537" s="361"/>
      <c r="G537" s="363"/>
      <c r="H537" s="364"/>
      <c r="I537" s="363"/>
      <c r="J537" s="363"/>
    </row>
    <row r="538" spans="1:10" s="197" customFormat="1" x14ac:dyDescent="0.2">
      <c r="A538" s="360"/>
      <c r="B538" s="361"/>
      <c r="C538" s="361"/>
      <c r="D538" s="361"/>
      <c r="E538" s="361"/>
      <c r="F538" s="361"/>
      <c r="G538" s="363"/>
      <c r="H538" s="364"/>
      <c r="I538" s="363"/>
      <c r="J538" s="363"/>
    </row>
    <row r="539" spans="1:10" s="197" customFormat="1" x14ac:dyDescent="0.2">
      <c r="A539" s="360"/>
      <c r="B539" s="361"/>
      <c r="C539" s="361"/>
      <c r="D539" s="361"/>
      <c r="E539" s="361"/>
      <c r="F539" s="361"/>
      <c r="G539" s="363"/>
      <c r="H539" s="364"/>
      <c r="I539" s="363"/>
      <c r="J539" s="363"/>
    </row>
    <row r="540" spans="1:10" s="197" customFormat="1" x14ac:dyDescent="0.2">
      <c r="A540" s="360"/>
      <c r="B540" s="361"/>
      <c r="C540" s="361"/>
      <c r="D540" s="361"/>
      <c r="E540" s="361"/>
      <c r="F540" s="361"/>
      <c r="G540" s="363"/>
      <c r="H540" s="364"/>
      <c r="I540" s="363"/>
      <c r="J540" s="363"/>
    </row>
    <row r="541" spans="1:10" s="197" customFormat="1" x14ac:dyDescent="0.2">
      <c r="A541" s="360"/>
      <c r="B541" s="361"/>
      <c r="C541" s="361"/>
      <c r="D541" s="361"/>
      <c r="E541" s="361"/>
      <c r="F541" s="361"/>
      <c r="G541" s="363"/>
      <c r="H541" s="364"/>
      <c r="I541" s="363"/>
      <c r="J541" s="363"/>
    </row>
    <row r="542" spans="1:10" s="197" customFormat="1" x14ac:dyDescent="0.2">
      <c r="A542" s="360"/>
      <c r="B542" s="361"/>
      <c r="C542" s="361"/>
      <c r="D542" s="361"/>
      <c r="E542" s="361"/>
      <c r="F542" s="361"/>
      <c r="G542" s="363"/>
      <c r="H542" s="364"/>
      <c r="I542" s="363"/>
      <c r="J542" s="363"/>
    </row>
    <row r="543" spans="1:10" s="197" customFormat="1" x14ac:dyDescent="0.2">
      <c r="A543" s="360"/>
      <c r="B543" s="361"/>
      <c r="C543" s="361"/>
      <c r="D543" s="361"/>
      <c r="E543" s="361"/>
      <c r="F543" s="361"/>
      <c r="G543" s="363"/>
      <c r="H543" s="364"/>
      <c r="I543" s="363"/>
      <c r="J543" s="363"/>
    </row>
    <row r="544" spans="1:10" s="197" customFormat="1" x14ac:dyDescent="0.2">
      <c r="A544" s="360"/>
      <c r="B544" s="361"/>
      <c r="C544" s="361"/>
      <c r="D544" s="361"/>
      <c r="E544" s="361"/>
      <c r="F544" s="361"/>
      <c r="G544" s="363"/>
      <c r="H544" s="364"/>
      <c r="I544" s="363"/>
      <c r="J544" s="363"/>
    </row>
    <row r="545" spans="1:10" s="197" customFormat="1" x14ac:dyDescent="0.2">
      <c r="A545" s="360"/>
      <c r="B545" s="361"/>
      <c r="C545" s="361"/>
      <c r="D545" s="361"/>
      <c r="E545" s="361"/>
      <c r="F545" s="361"/>
      <c r="G545" s="363"/>
      <c r="H545" s="364"/>
      <c r="I545" s="363"/>
      <c r="J545" s="363"/>
    </row>
    <row r="546" spans="1:10" s="197" customFormat="1" x14ac:dyDescent="0.2">
      <c r="A546" s="360"/>
      <c r="B546" s="361"/>
      <c r="C546" s="361"/>
      <c r="D546" s="361"/>
      <c r="E546" s="361"/>
      <c r="F546" s="361"/>
      <c r="G546" s="363"/>
      <c r="H546" s="364"/>
      <c r="I546" s="363"/>
      <c r="J546" s="363"/>
    </row>
    <row r="547" spans="1:10" s="197" customFormat="1" x14ac:dyDescent="0.2">
      <c r="A547" s="360"/>
      <c r="B547" s="361"/>
      <c r="C547" s="361"/>
      <c r="D547" s="361"/>
      <c r="E547" s="361"/>
      <c r="F547" s="361"/>
      <c r="G547" s="363"/>
      <c r="H547" s="364"/>
      <c r="I547" s="363"/>
      <c r="J547" s="363"/>
    </row>
    <row r="548" spans="1:10" s="197" customFormat="1" x14ac:dyDescent="0.2">
      <c r="A548" s="360"/>
      <c r="B548" s="361"/>
      <c r="C548" s="361"/>
      <c r="D548" s="361"/>
      <c r="E548" s="361"/>
      <c r="F548" s="361"/>
      <c r="G548" s="363"/>
      <c r="H548" s="364"/>
      <c r="I548" s="363"/>
      <c r="J548" s="363"/>
    </row>
    <row r="549" spans="1:10" s="197" customFormat="1" x14ac:dyDescent="0.2">
      <c r="A549" s="360"/>
      <c r="B549" s="361"/>
      <c r="C549" s="361"/>
      <c r="D549" s="361"/>
      <c r="E549" s="361"/>
      <c r="F549" s="361"/>
      <c r="G549" s="363"/>
      <c r="H549" s="364"/>
      <c r="I549" s="363"/>
      <c r="J549" s="363"/>
    </row>
    <row r="550" spans="1:10" s="197" customFormat="1" x14ac:dyDescent="0.2">
      <c r="A550" s="360"/>
      <c r="B550" s="361"/>
      <c r="C550" s="361"/>
      <c r="D550" s="361"/>
      <c r="E550" s="361"/>
      <c r="F550" s="361"/>
      <c r="G550" s="363"/>
      <c r="H550" s="364"/>
      <c r="I550" s="363"/>
      <c r="J550" s="363"/>
    </row>
    <row r="551" spans="1:10" s="197" customFormat="1" x14ac:dyDescent="0.2">
      <c r="A551" s="360"/>
      <c r="B551" s="361"/>
      <c r="C551" s="361"/>
      <c r="D551" s="361"/>
      <c r="E551" s="361"/>
      <c r="F551" s="361"/>
      <c r="G551" s="363"/>
      <c r="H551" s="364"/>
      <c r="I551" s="363"/>
      <c r="J551" s="363"/>
    </row>
    <row r="552" spans="1:10" s="197" customFormat="1" x14ac:dyDescent="0.2">
      <c r="A552" s="360"/>
      <c r="B552" s="361"/>
      <c r="C552" s="361"/>
      <c r="D552" s="361"/>
      <c r="E552" s="361"/>
      <c r="F552" s="361"/>
      <c r="G552" s="363"/>
      <c r="H552" s="364"/>
      <c r="I552" s="363"/>
      <c r="J552" s="363"/>
    </row>
    <row r="553" spans="1:10" s="197" customFormat="1" x14ac:dyDescent="0.2">
      <c r="A553" s="360"/>
      <c r="B553" s="361"/>
      <c r="C553" s="361"/>
      <c r="D553" s="361"/>
      <c r="E553" s="361"/>
      <c r="F553" s="361"/>
      <c r="G553" s="363"/>
      <c r="H553" s="364"/>
      <c r="I553" s="363"/>
      <c r="J553" s="363"/>
    </row>
    <row r="554" spans="1:10" s="197" customFormat="1" x14ac:dyDescent="0.2">
      <c r="A554" s="360"/>
      <c r="B554" s="361"/>
      <c r="C554" s="361"/>
      <c r="D554" s="361"/>
      <c r="E554" s="361"/>
      <c r="F554" s="361"/>
      <c r="G554" s="363"/>
      <c r="H554" s="364"/>
      <c r="I554" s="363"/>
      <c r="J554" s="363"/>
    </row>
    <row r="555" spans="1:10" s="197" customFormat="1" x14ac:dyDescent="0.2">
      <c r="A555" s="360"/>
      <c r="B555" s="361"/>
      <c r="C555" s="361"/>
      <c r="D555" s="361"/>
      <c r="E555" s="361"/>
      <c r="F555" s="361"/>
      <c r="G555" s="363"/>
      <c r="H555" s="364"/>
      <c r="I555" s="363"/>
      <c r="J555" s="363"/>
    </row>
    <row r="556" spans="1:10" s="197" customFormat="1" x14ac:dyDescent="0.2">
      <c r="A556" s="360"/>
      <c r="B556" s="361"/>
      <c r="C556" s="361"/>
      <c r="D556" s="361"/>
      <c r="E556" s="361"/>
      <c r="F556" s="361"/>
      <c r="G556" s="363"/>
      <c r="H556" s="364"/>
      <c r="I556" s="363"/>
      <c r="J556" s="363"/>
    </row>
    <row r="557" spans="1:10" s="197" customFormat="1" x14ac:dyDescent="0.2">
      <c r="A557" s="360"/>
      <c r="B557" s="361"/>
      <c r="C557" s="361"/>
      <c r="D557" s="361"/>
      <c r="E557" s="361"/>
      <c r="F557" s="361"/>
      <c r="G557" s="363"/>
      <c r="H557" s="364"/>
      <c r="I557" s="363"/>
      <c r="J557" s="363"/>
    </row>
    <row r="558" spans="1:10" s="197" customFormat="1" x14ac:dyDescent="0.2">
      <c r="A558" s="360"/>
      <c r="B558" s="361"/>
      <c r="C558" s="361"/>
      <c r="D558" s="361"/>
      <c r="E558" s="361"/>
      <c r="F558" s="361"/>
      <c r="G558" s="363"/>
      <c r="H558" s="364"/>
      <c r="I558" s="363"/>
      <c r="J558" s="363"/>
    </row>
    <row r="559" spans="1:10" s="197" customFormat="1" x14ac:dyDescent="0.2">
      <c r="A559" s="360"/>
      <c r="B559" s="361"/>
      <c r="C559" s="361"/>
      <c r="D559" s="361"/>
      <c r="E559" s="361"/>
      <c r="F559" s="361"/>
      <c r="G559" s="363"/>
      <c r="H559" s="364"/>
      <c r="I559" s="363"/>
      <c r="J559" s="363"/>
    </row>
    <row r="560" spans="1:10" s="197" customFormat="1" x14ac:dyDescent="0.2">
      <c r="A560" s="360"/>
      <c r="B560" s="361"/>
      <c r="C560" s="361"/>
      <c r="D560" s="361"/>
      <c r="E560" s="361"/>
      <c r="F560" s="361"/>
      <c r="G560" s="363"/>
      <c r="H560" s="364"/>
      <c r="I560" s="363"/>
      <c r="J560" s="363"/>
    </row>
    <row r="561" spans="1:10" s="197" customFormat="1" x14ac:dyDescent="0.2">
      <c r="A561" s="360"/>
      <c r="B561" s="361"/>
      <c r="C561" s="361"/>
      <c r="D561" s="361"/>
      <c r="E561" s="361"/>
      <c r="F561" s="361"/>
      <c r="G561" s="363"/>
      <c r="H561" s="364"/>
      <c r="I561" s="363"/>
      <c r="J561" s="363"/>
    </row>
    <row r="562" spans="1:10" s="197" customFormat="1" x14ac:dyDescent="0.2">
      <c r="A562" s="360"/>
      <c r="B562" s="361"/>
      <c r="C562" s="361"/>
      <c r="D562" s="361"/>
      <c r="E562" s="361"/>
      <c r="F562" s="361"/>
      <c r="G562" s="363"/>
      <c r="H562" s="364"/>
      <c r="I562" s="363"/>
      <c r="J562" s="363"/>
    </row>
    <row r="563" spans="1:10" s="197" customFormat="1" x14ac:dyDescent="0.2">
      <c r="A563" s="360"/>
      <c r="B563" s="361"/>
      <c r="C563" s="361"/>
      <c r="D563" s="361"/>
      <c r="E563" s="361"/>
      <c r="F563" s="361"/>
      <c r="G563" s="363"/>
      <c r="H563" s="364"/>
      <c r="I563" s="363"/>
      <c r="J563" s="363"/>
    </row>
    <row r="564" spans="1:10" s="197" customFormat="1" x14ac:dyDescent="0.2">
      <c r="A564" s="360"/>
      <c r="B564" s="361"/>
      <c r="C564" s="361"/>
      <c r="D564" s="361"/>
      <c r="E564" s="361"/>
      <c r="F564" s="361"/>
      <c r="G564" s="363"/>
      <c r="H564" s="364"/>
      <c r="I564" s="363"/>
      <c r="J564" s="363"/>
    </row>
    <row r="565" spans="1:10" s="197" customFormat="1" x14ac:dyDescent="0.2">
      <c r="A565" s="360"/>
      <c r="B565" s="361"/>
      <c r="C565" s="361"/>
      <c r="D565" s="361"/>
      <c r="E565" s="361"/>
      <c r="F565" s="361"/>
      <c r="G565" s="363"/>
      <c r="H565" s="364"/>
      <c r="I565" s="363"/>
      <c r="J565" s="363"/>
    </row>
    <row r="566" spans="1:10" s="197" customFormat="1" x14ac:dyDescent="0.2">
      <c r="A566" s="360"/>
      <c r="B566" s="361"/>
      <c r="C566" s="361"/>
      <c r="D566" s="361"/>
      <c r="E566" s="361"/>
      <c r="F566" s="361"/>
      <c r="G566" s="363"/>
      <c r="H566" s="364"/>
      <c r="I566" s="363"/>
      <c r="J566" s="363"/>
    </row>
    <row r="567" spans="1:10" s="197" customFormat="1" x14ac:dyDescent="0.2">
      <c r="A567" s="360"/>
      <c r="B567" s="361"/>
      <c r="C567" s="361"/>
      <c r="D567" s="361"/>
      <c r="E567" s="361"/>
      <c r="F567" s="361"/>
      <c r="G567" s="363"/>
      <c r="H567" s="364"/>
      <c r="I567" s="363"/>
      <c r="J567" s="363"/>
    </row>
    <row r="568" spans="1:10" s="197" customFormat="1" x14ac:dyDescent="0.2">
      <c r="A568" s="360"/>
      <c r="B568" s="361"/>
      <c r="C568" s="361"/>
      <c r="D568" s="361"/>
      <c r="E568" s="361"/>
      <c r="F568" s="361"/>
      <c r="G568" s="363"/>
      <c r="H568" s="364"/>
      <c r="I568" s="363"/>
      <c r="J568" s="363"/>
    </row>
    <row r="569" spans="1:10" s="197" customFormat="1" x14ac:dyDescent="0.2">
      <c r="A569" s="360"/>
      <c r="B569" s="361"/>
      <c r="C569" s="361"/>
      <c r="D569" s="361"/>
      <c r="E569" s="361"/>
      <c r="F569" s="361"/>
      <c r="G569" s="363"/>
      <c r="H569" s="364"/>
      <c r="I569" s="363"/>
      <c r="J569" s="363"/>
    </row>
    <row r="570" spans="1:10" s="197" customFormat="1" x14ac:dyDescent="0.2">
      <c r="A570" s="360"/>
      <c r="B570" s="361"/>
      <c r="C570" s="361"/>
      <c r="D570" s="361"/>
      <c r="E570" s="361"/>
      <c r="F570" s="361"/>
      <c r="G570" s="363"/>
      <c r="H570" s="364"/>
      <c r="I570" s="363"/>
      <c r="J570" s="363"/>
    </row>
    <row r="571" spans="1:10" s="197" customFormat="1" x14ac:dyDescent="0.2">
      <c r="A571" s="360"/>
      <c r="B571" s="361"/>
      <c r="C571" s="361"/>
      <c r="D571" s="361"/>
      <c r="E571" s="361"/>
      <c r="F571" s="361"/>
      <c r="G571" s="363"/>
      <c r="H571" s="364"/>
      <c r="I571" s="363"/>
      <c r="J571" s="363"/>
    </row>
    <row r="572" spans="1:10" s="197" customFormat="1" x14ac:dyDescent="0.2">
      <c r="A572" s="360"/>
      <c r="B572" s="361"/>
      <c r="C572" s="361"/>
      <c r="D572" s="361"/>
      <c r="E572" s="361"/>
      <c r="F572" s="361"/>
      <c r="G572" s="363"/>
      <c r="H572" s="364"/>
      <c r="I572" s="363"/>
      <c r="J572" s="363"/>
    </row>
    <row r="573" spans="1:10" s="197" customFormat="1" x14ac:dyDescent="0.2">
      <c r="A573" s="360"/>
      <c r="B573" s="361"/>
      <c r="C573" s="361"/>
      <c r="D573" s="361"/>
      <c r="E573" s="361"/>
      <c r="F573" s="361"/>
      <c r="G573" s="363"/>
      <c r="H573" s="364"/>
      <c r="I573" s="363"/>
      <c r="J573" s="363"/>
    </row>
    <row r="574" spans="1:10" s="197" customFormat="1" x14ac:dyDescent="0.2">
      <c r="A574" s="360"/>
      <c r="B574" s="361"/>
      <c r="C574" s="361"/>
      <c r="D574" s="361"/>
      <c r="E574" s="361"/>
      <c r="F574" s="361"/>
      <c r="G574" s="363"/>
      <c r="H574" s="364"/>
      <c r="I574" s="363"/>
      <c r="J574" s="363"/>
    </row>
    <row r="575" spans="1:10" s="197" customFormat="1" x14ac:dyDescent="0.2">
      <c r="A575" s="360"/>
      <c r="B575" s="361"/>
      <c r="C575" s="361"/>
      <c r="D575" s="361"/>
      <c r="E575" s="361"/>
      <c r="F575" s="361"/>
      <c r="G575" s="363"/>
      <c r="H575" s="364"/>
      <c r="I575" s="363"/>
      <c r="J575" s="363"/>
    </row>
    <row r="576" spans="1:10" s="197" customFormat="1" x14ac:dyDescent="0.2">
      <c r="A576" s="360"/>
      <c r="B576" s="361"/>
      <c r="C576" s="361"/>
      <c r="D576" s="361"/>
      <c r="E576" s="361"/>
      <c r="F576" s="361"/>
      <c r="G576" s="363"/>
      <c r="H576" s="364"/>
      <c r="I576" s="363"/>
      <c r="J576" s="363"/>
    </row>
    <row r="577" spans="1:10" s="197" customFormat="1" x14ac:dyDescent="0.2">
      <c r="A577" s="360"/>
      <c r="B577" s="361"/>
      <c r="C577" s="361"/>
      <c r="D577" s="361"/>
      <c r="E577" s="361"/>
      <c r="F577" s="361"/>
      <c r="G577" s="363"/>
      <c r="H577" s="364"/>
      <c r="I577" s="363"/>
      <c r="J577" s="363"/>
    </row>
    <row r="578" spans="1:10" s="197" customFormat="1" x14ac:dyDescent="0.2">
      <c r="A578" s="360"/>
      <c r="B578" s="361"/>
      <c r="C578" s="361"/>
      <c r="D578" s="361"/>
      <c r="E578" s="361"/>
      <c r="F578" s="361"/>
      <c r="G578" s="363"/>
      <c r="H578" s="364"/>
      <c r="I578" s="363"/>
      <c r="J578" s="363"/>
    </row>
    <row r="579" spans="1:10" s="197" customFormat="1" x14ac:dyDescent="0.2">
      <c r="A579" s="360"/>
      <c r="B579" s="361"/>
      <c r="C579" s="361"/>
      <c r="D579" s="361"/>
      <c r="E579" s="361"/>
      <c r="F579" s="361"/>
      <c r="G579" s="363"/>
      <c r="H579" s="364"/>
      <c r="I579" s="363"/>
      <c r="J579" s="363"/>
    </row>
    <row r="580" spans="1:10" s="197" customFormat="1" x14ac:dyDescent="0.2">
      <c r="A580" s="360"/>
      <c r="B580" s="361"/>
      <c r="C580" s="361"/>
      <c r="D580" s="361"/>
      <c r="E580" s="361"/>
      <c r="F580" s="361"/>
      <c r="G580" s="363"/>
      <c r="H580" s="364"/>
      <c r="I580" s="363"/>
      <c r="J580" s="363"/>
    </row>
    <row r="581" spans="1:10" s="197" customFormat="1" x14ac:dyDescent="0.2">
      <c r="A581" s="360"/>
      <c r="B581" s="361"/>
      <c r="C581" s="361"/>
      <c r="D581" s="361"/>
      <c r="E581" s="361"/>
      <c r="F581" s="361"/>
      <c r="G581" s="363"/>
      <c r="H581" s="364"/>
      <c r="I581" s="363"/>
      <c r="J581" s="363"/>
    </row>
    <row r="582" spans="1:10" s="197" customFormat="1" x14ac:dyDescent="0.2">
      <c r="A582" s="360"/>
      <c r="B582" s="361"/>
      <c r="C582" s="361"/>
      <c r="D582" s="361"/>
      <c r="E582" s="361"/>
      <c r="F582" s="361"/>
      <c r="G582" s="363"/>
      <c r="H582" s="364"/>
      <c r="I582" s="363"/>
      <c r="J582" s="363"/>
    </row>
    <row r="583" spans="1:10" s="197" customFormat="1" x14ac:dyDescent="0.2">
      <c r="A583" s="360"/>
      <c r="B583" s="361"/>
      <c r="C583" s="361"/>
      <c r="D583" s="361"/>
      <c r="E583" s="361"/>
      <c r="F583" s="361"/>
      <c r="G583" s="363"/>
      <c r="H583" s="364"/>
      <c r="I583" s="363"/>
      <c r="J583" s="363"/>
    </row>
    <row r="584" spans="1:10" s="197" customFormat="1" x14ac:dyDescent="0.2">
      <c r="A584" s="360"/>
      <c r="B584" s="361"/>
      <c r="C584" s="361"/>
      <c r="D584" s="361"/>
      <c r="E584" s="361"/>
      <c r="F584" s="361"/>
      <c r="G584" s="363"/>
      <c r="H584" s="364"/>
      <c r="I584" s="363"/>
      <c r="J584" s="363"/>
    </row>
    <row r="585" spans="1:10" s="197" customFormat="1" x14ac:dyDescent="0.2">
      <c r="A585" s="360"/>
      <c r="B585" s="361"/>
      <c r="C585" s="361"/>
      <c r="D585" s="361"/>
      <c r="E585" s="361"/>
      <c r="F585" s="361"/>
      <c r="G585" s="363"/>
      <c r="H585" s="364"/>
      <c r="I585" s="363"/>
      <c r="J585" s="363"/>
    </row>
    <row r="586" spans="1:10" s="197" customFormat="1" x14ac:dyDescent="0.2">
      <c r="A586" s="360"/>
      <c r="B586" s="361"/>
      <c r="C586" s="361"/>
      <c r="D586" s="361"/>
      <c r="E586" s="361"/>
      <c r="F586" s="361"/>
      <c r="G586" s="363"/>
      <c r="H586" s="364"/>
      <c r="I586" s="363"/>
      <c r="J586" s="363"/>
    </row>
    <row r="587" spans="1:10" s="197" customFormat="1" x14ac:dyDescent="0.2">
      <c r="A587" s="360"/>
      <c r="B587" s="361"/>
      <c r="C587" s="361"/>
      <c r="D587" s="361"/>
      <c r="E587" s="361"/>
      <c r="F587" s="361"/>
      <c r="G587" s="363"/>
      <c r="H587" s="364"/>
      <c r="I587" s="363"/>
      <c r="J587" s="363"/>
    </row>
    <row r="588" spans="1:10" s="197" customFormat="1" x14ac:dyDescent="0.2">
      <c r="A588" s="360"/>
      <c r="B588" s="361"/>
      <c r="C588" s="361"/>
      <c r="D588" s="361"/>
      <c r="E588" s="361"/>
      <c r="F588" s="361"/>
      <c r="G588" s="363"/>
      <c r="H588" s="364"/>
      <c r="I588" s="363"/>
      <c r="J588" s="363"/>
    </row>
    <row r="589" spans="1:10" s="197" customFormat="1" x14ac:dyDescent="0.2">
      <c r="A589" s="360"/>
      <c r="B589" s="361"/>
      <c r="C589" s="361"/>
      <c r="D589" s="361"/>
      <c r="E589" s="361"/>
      <c r="F589" s="361"/>
      <c r="G589" s="363"/>
      <c r="H589" s="364"/>
      <c r="I589" s="363"/>
      <c r="J589" s="363"/>
    </row>
    <row r="590" spans="1:10" s="197" customFormat="1" x14ac:dyDescent="0.2">
      <c r="A590" s="360"/>
      <c r="B590" s="361"/>
      <c r="C590" s="361"/>
      <c r="D590" s="361"/>
      <c r="E590" s="361"/>
      <c r="F590" s="361"/>
      <c r="G590" s="363"/>
      <c r="H590" s="364"/>
      <c r="I590" s="363"/>
      <c r="J590" s="363"/>
    </row>
    <row r="591" spans="1:10" s="197" customFormat="1" x14ac:dyDescent="0.2">
      <c r="A591" s="360"/>
      <c r="B591" s="361"/>
      <c r="C591" s="361"/>
      <c r="D591" s="361"/>
      <c r="E591" s="361"/>
      <c r="F591" s="361"/>
      <c r="G591" s="363"/>
      <c r="H591" s="364"/>
      <c r="I591" s="363"/>
      <c r="J591" s="363"/>
    </row>
    <row r="592" spans="1:10" s="197" customFormat="1" x14ac:dyDescent="0.2">
      <c r="A592" s="360"/>
      <c r="B592" s="361"/>
      <c r="C592" s="361"/>
      <c r="D592" s="361"/>
      <c r="E592" s="361"/>
      <c r="F592" s="361"/>
      <c r="G592" s="363"/>
      <c r="H592" s="364"/>
      <c r="I592" s="363"/>
      <c r="J592" s="363"/>
    </row>
    <row r="593" spans="1:10" s="197" customFormat="1" x14ac:dyDescent="0.2">
      <c r="A593" s="360"/>
      <c r="B593" s="361"/>
      <c r="C593" s="361"/>
      <c r="D593" s="361"/>
      <c r="E593" s="361"/>
      <c r="F593" s="361"/>
      <c r="G593" s="363"/>
      <c r="H593" s="364"/>
      <c r="I593" s="363"/>
      <c r="J593" s="363"/>
    </row>
    <row r="594" spans="1:10" s="197" customFormat="1" x14ac:dyDescent="0.2">
      <c r="A594" s="360"/>
      <c r="B594" s="361"/>
      <c r="C594" s="361"/>
      <c r="D594" s="361"/>
      <c r="E594" s="361"/>
      <c r="F594" s="361"/>
      <c r="G594" s="363"/>
      <c r="H594" s="364"/>
      <c r="I594" s="363"/>
      <c r="J594" s="363"/>
    </row>
    <row r="595" spans="1:10" s="197" customFormat="1" x14ac:dyDescent="0.2">
      <c r="A595" s="360"/>
      <c r="B595" s="361"/>
      <c r="C595" s="361"/>
      <c r="D595" s="361"/>
      <c r="E595" s="361"/>
      <c r="F595" s="361"/>
      <c r="G595" s="363"/>
      <c r="H595" s="364"/>
      <c r="I595" s="363"/>
      <c r="J595" s="363"/>
    </row>
    <row r="596" spans="1:10" s="197" customFormat="1" x14ac:dyDescent="0.2">
      <c r="A596" s="360"/>
      <c r="B596" s="361"/>
      <c r="C596" s="361"/>
      <c r="D596" s="361"/>
      <c r="E596" s="361"/>
      <c r="F596" s="361"/>
      <c r="G596" s="363"/>
      <c r="H596" s="364"/>
      <c r="I596" s="363"/>
      <c r="J596" s="363"/>
    </row>
    <row r="597" spans="1:10" s="197" customFormat="1" x14ac:dyDescent="0.2">
      <c r="A597" s="360"/>
      <c r="B597" s="361"/>
      <c r="C597" s="361"/>
      <c r="D597" s="361"/>
      <c r="E597" s="361"/>
      <c r="F597" s="361"/>
      <c r="G597" s="363"/>
      <c r="H597" s="364"/>
      <c r="I597" s="363"/>
      <c r="J597" s="363"/>
    </row>
    <row r="598" spans="1:10" s="197" customFormat="1" x14ac:dyDescent="0.2">
      <c r="A598" s="360"/>
      <c r="B598" s="361"/>
      <c r="C598" s="361"/>
      <c r="D598" s="361"/>
      <c r="E598" s="361"/>
      <c r="F598" s="361"/>
      <c r="G598" s="363"/>
      <c r="H598" s="364"/>
      <c r="I598" s="363"/>
      <c r="J598" s="363"/>
    </row>
    <row r="599" spans="1:10" s="197" customFormat="1" x14ac:dyDescent="0.2">
      <c r="A599" s="360"/>
      <c r="B599" s="361"/>
      <c r="C599" s="361"/>
      <c r="D599" s="361"/>
      <c r="E599" s="361"/>
      <c r="F599" s="361"/>
      <c r="G599" s="363"/>
      <c r="H599" s="364"/>
      <c r="I599" s="363"/>
      <c r="J599" s="363"/>
    </row>
    <row r="600" spans="1:10" s="197" customFormat="1" x14ac:dyDescent="0.2">
      <c r="A600" s="360"/>
      <c r="B600" s="361"/>
      <c r="C600" s="361"/>
      <c r="D600" s="361"/>
      <c r="E600" s="361"/>
      <c r="F600" s="361"/>
      <c r="G600" s="363"/>
      <c r="H600" s="364"/>
      <c r="I600" s="363"/>
      <c r="J600" s="363"/>
    </row>
    <row r="601" spans="1:10" s="197" customFormat="1" x14ac:dyDescent="0.2">
      <c r="A601" s="360"/>
      <c r="B601" s="361"/>
      <c r="C601" s="361"/>
      <c r="D601" s="361"/>
      <c r="E601" s="361"/>
      <c r="F601" s="361"/>
      <c r="G601" s="363"/>
      <c r="H601" s="364"/>
      <c r="I601" s="363"/>
      <c r="J601" s="363"/>
    </row>
    <row r="602" spans="1:10" s="197" customFormat="1" x14ac:dyDescent="0.2">
      <c r="A602" s="360"/>
      <c r="B602" s="361"/>
      <c r="C602" s="361"/>
      <c r="D602" s="361"/>
      <c r="E602" s="361"/>
      <c r="F602" s="361"/>
      <c r="G602" s="363"/>
      <c r="H602" s="364"/>
      <c r="I602" s="363"/>
      <c r="J602" s="363"/>
    </row>
    <row r="603" spans="1:10" s="197" customFormat="1" x14ac:dyDescent="0.2">
      <c r="A603" s="360"/>
      <c r="B603" s="361"/>
      <c r="C603" s="361"/>
      <c r="D603" s="361"/>
      <c r="E603" s="361"/>
      <c r="F603" s="361"/>
      <c r="G603" s="363"/>
      <c r="H603" s="364"/>
      <c r="I603" s="363"/>
      <c r="J603" s="363"/>
    </row>
    <row r="604" spans="1:10" s="197" customFormat="1" x14ac:dyDescent="0.2">
      <c r="A604" s="360"/>
      <c r="B604" s="361"/>
      <c r="C604" s="361"/>
      <c r="D604" s="361"/>
      <c r="E604" s="361"/>
      <c r="F604" s="361"/>
      <c r="G604" s="363"/>
      <c r="H604" s="364"/>
      <c r="I604" s="363"/>
      <c r="J604" s="363"/>
    </row>
    <row r="605" spans="1:10" s="197" customFormat="1" x14ac:dyDescent="0.2">
      <c r="A605" s="360"/>
      <c r="B605" s="361"/>
      <c r="C605" s="361"/>
      <c r="D605" s="361"/>
      <c r="E605" s="361"/>
      <c r="F605" s="361"/>
      <c r="G605" s="363"/>
      <c r="H605" s="364"/>
      <c r="I605" s="363"/>
      <c r="J605" s="363"/>
    </row>
    <row r="606" spans="1:10" s="197" customFormat="1" x14ac:dyDescent="0.2">
      <c r="A606" s="360"/>
      <c r="B606" s="361"/>
      <c r="C606" s="361"/>
      <c r="D606" s="361"/>
      <c r="E606" s="361"/>
      <c r="F606" s="361"/>
      <c r="G606" s="363"/>
      <c r="H606" s="364"/>
      <c r="I606" s="363"/>
      <c r="J606" s="363"/>
    </row>
    <row r="607" spans="1:10" s="197" customFormat="1" x14ac:dyDescent="0.2">
      <c r="A607" s="360"/>
      <c r="B607" s="361"/>
      <c r="C607" s="361"/>
      <c r="D607" s="361"/>
      <c r="E607" s="361"/>
      <c r="F607" s="361"/>
      <c r="G607" s="363"/>
      <c r="H607" s="364"/>
      <c r="I607" s="363"/>
      <c r="J607" s="363"/>
    </row>
    <row r="608" spans="1:10" s="197" customFormat="1" x14ac:dyDescent="0.2">
      <c r="A608" s="360"/>
      <c r="B608" s="361"/>
      <c r="C608" s="361"/>
      <c r="D608" s="361"/>
      <c r="E608" s="361"/>
      <c r="F608" s="361"/>
      <c r="G608" s="363"/>
      <c r="H608" s="364"/>
      <c r="I608" s="363"/>
      <c r="J608" s="363"/>
    </row>
    <row r="609" spans="1:10" s="197" customFormat="1" x14ac:dyDescent="0.2">
      <c r="A609" s="360"/>
      <c r="B609" s="361"/>
      <c r="C609" s="361"/>
      <c r="D609" s="361"/>
      <c r="E609" s="361"/>
      <c r="F609" s="361"/>
      <c r="G609" s="363"/>
      <c r="H609" s="364"/>
      <c r="I609" s="363"/>
      <c r="J609" s="363"/>
    </row>
    <row r="610" spans="1:10" s="197" customFormat="1" x14ac:dyDescent="0.2">
      <c r="A610" s="360"/>
      <c r="B610" s="361"/>
      <c r="C610" s="361"/>
      <c r="D610" s="361"/>
      <c r="E610" s="361"/>
      <c r="F610" s="361"/>
      <c r="G610" s="363"/>
      <c r="H610" s="364"/>
      <c r="I610" s="363"/>
      <c r="J610" s="363"/>
    </row>
    <row r="611" spans="1:10" s="197" customFormat="1" x14ac:dyDescent="0.2">
      <c r="A611" s="360"/>
      <c r="B611" s="361"/>
      <c r="C611" s="361"/>
      <c r="D611" s="361"/>
      <c r="E611" s="361"/>
      <c r="F611" s="361"/>
      <c r="G611" s="363"/>
      <c r="H611" s="364"/>
      <c r="I611" s="363"/>
      <c r="J611" s="363"/>
    </row>
    <row r="612" spans="1:10" s="197" customFormat="1" x14ac:dyDescent="0.2">
      <c r="A612" s="360"/>
      <c r="B612" s="361"/>
      <c r="C612" s="361"/>
      <c r="D612" s="361"/>
      <c r="E612" s="361"/>
      <c r="F612" s="361"/>
      <c r="G612" s="363"/>
      <c r="H612" s="364"/>
      <c r="I612" s="363"/>
      <c r="J612" s="363"/>
    </row>
    <row r="613" spans="1:10" s="197" customFormat="1" x14ac:dyDescent="0.2">
      <c r="A613" s="360"/>
      <c r="B613" s="361"/>
      <c r="C613" s="361"/>
      <c r="D613" s="361"/>
      <c r="E613" s="361"/>
      <c r="F613" s="361"/>
      <c r="G613" s="363"/>
      <c r="H613" s="364"/>
      <c r="I613" s="363"/>
      <c r="J613" s="363"/>
    </row>
    <row r="614" spans="1:10" s="197" customFormat="1" x14ac:dyDescent="0.2">
      <c r="A614" s="360"/>
      <c r="B614" s="361"/>
      <c r="C614" s="361"/>
      <c r="D614" s="361"/>
      <c r="E614" s="361"/>
      <c r="F614" s="361"/>
      <c r="G614" s="363"/>
      <c r="H614" s="364"/>
      <c r="I614" s="363"/>
      <c r="J614" s="363"/>
    </row>
    <row r="615" spans="1:10" s="197" customFormat="1" x14ac:dyDescent="0.2">
      <c r="A615" s="360"/>
      <c r="B615" s="361"/>
      <c r="C615" s="361"/>
      <c r="D615" s="361"/>
      <c r="E615" s="361"/>
      <c r="F615" s="361"/>
      <c r="G615" s="363"/>
      <c r="H615" s="364"/>
      <c r="I615" s="363"/>
      <c r="J615" s="363"/>
    </row>
    <row r="616" spans="1:10" s="197" customFormat="1" x14ac:dyDescent="0.2">
      <c r="A616" s="360"/>
      <c r="B616" s="361"/>
      <c r="C616" s="361"/>
      <c r="D616" s="361"/>
      <c r="E616" s="361"/>
      <c r="F616" s="361"/>
      <c r="G616" s="363"/>
      <c r="H616" s="364"/>
      <c r="I616" s="363"/>
      <c r="J616" s="363"/>
    </row>
    <row r="617" spans="1:10" s="197" customFormat="1" x14ac:dyDescent="0.2">
      <c r="A617" s="360"/>
      <c r="B617" s="361"/>
      <c r="C617" s="361"/>
      <c r="D617" s="361"/>
      <c r="E617" s="361"/>
      <c r="F617" s="361"/>
      <c r="G617" s="363"/>
      <c r="H617" s="364"/>
      <c r="I617" s="363"/>
      <c r="J617" s="363"/>
    </row>
    <row r="618" spans="1:10" s="197" customFormat="1" x14ac:dyDescent="0.2">
      <c r="A618" s="360"/>
      <c r="B618" s="361"/>
      <c r="C618" s="361"/>
      <c r="D618" s="361"/>
      <c r="E618" s="361"/>
      <c r="F618" s="361"/>
      <c r="G618" s="363"/>
      <c r="H618" s="364"/>
      <c r="I618" s="363"/>
      <c r="J618" s="363"/>
    </row>
    <row r="619" spans="1:10" s="197" customFormat="1" x14ac:dyDescent="0.2">
      <c r="A619" s="360"/>
      <c r="B619" s="361"/>
      <c r="C619" s="361"/>
      <c r="D619" s="361"/>
      <c r="E619" s="361"/>
      <c r="F619" s="361"/>
      <c r="G619" s="363"/>
      <c r="H619" s="364"/>
      <c r="I619" s="363"/>
      <c r="J619" s="363"/>
    </row>
    <row r="620" spans="1:10" s="197" customFormat="1" x14ac:dyDescent="0.2">
      <c r="A620" s="360"/>
      <c r="B620" s="361"/>
      <c r="C620" s="361"/>
      <c r="D620" s="361"/>
      <c r="E620" s="361"/>
      <c r="F620" s="361"/>
      <c r="G620" s="363"/>
      <c r="H620" s="364"/>
      <c r="I620" s="363"/>
      <c r="J620" s="363"/>
    </row>
    <row r="621" spans="1:10" s="197" customFormat="1" x14ac:dyDescent="0.2">
      <c r="A621" s="360"/>
      <c r="B621" s="361"/>
      <c r="C621" s="361"/>
      <c r="D621" s="361"/>
      <c r="E621" s="361"/>
      <c r="F621" s="361"/>
      <c r="G621" s="363"/>
      <c r="H621" s="364"/>
      <c r="I621" s="363"/>
      <c r="J621" s="363"/>
    </row>
    <row r="622" spans="1:10" s="197" customFormat="1" x14ac:dyDescent="0.2">
      <c r="A622" s="360"/>
      <c r="B622" s="361"/>
      <c r="C622" s="361"/>
      <c r="D622" s="361"/>
      <c r="E622" s="361"/>
      <c r="F622" s="361"/>
      <c r="G622" s="363"/>
      <c r="H622" s="364"/>
      <c r="I622" s="363"/>
      <c r="J622" s="363"/>
    </row>
    <row r="623" spans="1:10" s="197" customFormat="1" x14ac:dyDescent="0.2">
      <c r="A623" s="360"/>
      <c r="B623" s="361"/>
      <c r="C623" s="361"/>
      <c r="D623" s="361"/>
      <c r="E623" s="361"/>
      <c r="F623" s="361"/>
      <c r="G623" s="363"/>
      <c r="H623" s="364"/>
      <c r="I623" s="363"/>
      <c r="J623" s="363"/>
    </row>
    <row r="624" spans="1:10" s="197" customFormat="1" x14ac:dyDescent="0.2">
      <c r="A624" s="360"/>
      <c r="B624" s="361"/>
      <c r="C624" s="361"/>
      <c r="D624" s="361"/>
      <c r="E624" s="361"/>
      <c r="F624" s="361"/>
      <c r="G624" s="363"/>
      <c r="H624" s="364"/>
      <c r="I624" s="363"/>
      <c r="J624" s="363"/>
    </row>
    <row r="625" spans="1:10" s="197" customFormat="1" x14ac:dyDescent="0.2">
      <c r="A625" s="360"/>
      <c r="B625" s="361"/>
      <c r="C625" s="361"/>
      <c r="D625" s="361"/>
      <c r="E625" s="361"/>
      <c r="F625" s="361"/>
      <c r="G625" s="363"/>
      <c r="H625" s="364"/>
      <c r="I625" s="363"/>
      <c r="J625" s="363"/>
    </row>
    <row r="626" spans="1:10" s="197" customFormat="1" x14ac:dyDescent="0.2">
      <c r="A626" s="360"/>
      <c r="B626" s="361"/>
      <c r="C626" s="361"/>
      <c r="D626" s="361"/>
      <c r="E626" s="361"/>
      <c r="F626" s="361"/>
      <c r="G626" s="363"/>
      <c r="H626" s="364"/>
      <c r="I626" s="363"/>
      <c r="J626" s="363"/>
    </row>
    <row r="627" spans="1:10" s="197" customFormat="1" x14ac:dyDescent="0.2">
      <c r="A627" s="360"/>
      <c r="B627" s="361"/>
      <c r="C627" s="361"/>
      <c r="D627" s="361"/>
      <c r="E627" s="361"/>
      <c r="F627" s="361"/>
      <c r="G627" s="363"/>
      <c r="H627" s="364"/>
      <c r="I627" s="363"/>
      <c r="J627" s="363"/>
    </row>
    <row r="628" spans="1:10" s="197" customFormat="1" x14ac:dyDescent="0.2">
      <c r="A628" s="360"/>
      <c r="B628" s="361"/>
      <c r="C628" s="361"/>
      <c r="D628" s="361"/>
      <c r="E628" s="361"/>
      <c r="F628" s="361"/>
      <c r="G628" s="363"/>
      <c r="H628" s="364"/>
      <c r="I628" s="363"/>
      <c r="J628" s="363"/>
    </row>
    <row r="629" spans="1:10" s="197" customFormat="1" x14ac:dyDescent="0.2">
      <c r="A629" s="360"/>
      <c r="B629" s="361"/>
      <c r="C629" s="361"/>
      <c r="D629" s="361"/>
      <c r="E629" s="361"/>
      <c r="F629" s="361"/>
      <c r="G629" s="363"/>
      <c r="H629" s="364"/>
      <c r="I629" s="363"/>
      <c r="J629" s="363"/>
    </row>
    <row r="630" spans="1:10" s="197" customFormat="1" x14ac:dyDescent="0.2">
      <c r="A630" s="360"/>
      <c r="B630" s="361"/>
      <c r="C630" s="361"/>
      <c r="D630" s="361"/>
      <c r="E630" s="361"/>
      <c r="F630" s="361"/>
      <c r="G630" s="363"/>
      <c r="H630" s="364"/>
      <c r="I630" s="363"/>
      <c r="J630" s="363"/>
    </row>
    <row r="631" spans="1:10" s="197" customFormat="1" x14ac:dyDescent="0.2">
      <c r="A631" s="360"/>
      <c r="B631" s="361"/>
      <c r="C631" s="361"/>
      <c r="D631" s="361"/>
      <c r="E631" s="361"/>
      <c r="F631" s="361"/>
      <c r="G631" s="363"/>
      <c r="H631" s="364"/>
      <c r="I631" s="363"/>
      <c r="J631" s="363"/>
    </row>
    <row r="632" spans="1:10" s="197" customFormat="1" x14ac:dyDescent="0.2">
      <c r="A632" s="360"/>
      <c r="B632" s="361"/>
      <c r="C632" s="361"/>
      <c r="D632" s="361"/>
      <c r="E632" s="361"/>
      <c r="F632" s="361"/>
      <c r="G632" s="363"/>
      <c r="H632" s="364"/>
      <c r="I632" s="363"/>
      <c r="J632" s="363"/>
    </row>
    <row r="633" spans="1:10" s="197" customFormat="1" x14ac:dyDescent="0.2">
      <c r="A633" s="360"/>
      <c r="B633" s="361"/>
      <c r="C633" s="361"/>
      <c r="D633" s="361"/>
      <c r="E633" s="361"/>
      <c r="F633" s="361"/>
      <c r="G633" s="363"/>
      <c r="H633" s="364"/>
      <c r="I633" s="363"/>
      <c r="J633" s="363"/>
    </row>
    <row r="634" spans="1:10" s="197" customFormat="1" x14ac:dyDescent="0.2">
      <c r="A634" s="360"/>
      <c r="B634" s="361"/>
      <c r="C634" s="361"/>
      <c r="D634" s="361"/>
      <c r="E634" s="361"/>
      <c r="F634" s="361"/>
      <c r="G634" s="363"/>
      <c r="H634" s="364"/>
      <c r="I634" s="363"/>
      <c r="J634" s="363"/>
    </row>
    <row r="635" spans="1:10" s="197" customFormat="1" x14ac:dyDescent="0.2">
      <c r="A635" s="360"/>
      <c r="B635" s="361"/>
      <c r="C635" s="361"/>
      <c r="D635" s="361"/>
      <c r="E635" s="361"/>
      <c r="F635" s="361"/>
      <c r="G635" s="363"/>
      <c r="H635" s="364"/>
      <c r="I635" s="363"/>
      <c r="J635" s="363"/>
    </row>
    <row r="636" spans="1:10" s="197" customFormat="1" x14ac:dyDescent="0.2">
      <c r="A636" s="360"/>
      <c r="B636" s="361"/>
      <c r="C636" s="361"/>
      <c r="D636" s="361"/>
      <c r="E636" s="361"/>
      <c r="F636" s="361"/>
      <c r="G636" s="363"/>
      <c r="H636" s="364"/>
      <c r="I636" s="363"/>
      <c r="J636" s="363"/>
    </row>
    <row r="637" spans="1:10" s="197" customFormat="1" x14ac:dyDescent="0.2">
      <c r="A637" s="360"/>
      <c r="B637" s="361"/>
      <c r="C637" s="361"/>
      <c r="D637" s="361"/>
      <c r="E637" s="361"/>
      <c r="F637" s="361"/>
      <c r="G637" s="363"/>
      <c r="H637" s="364"/>
      <c r="I637" s="363"/>
      <c r="J637" s="363"/>
    </row>
    <row r="638" spans="1:10" s="197" customFormat="1" x14ac:dyDescent="0.2">
      <c r="A638" s="360"/>
      <c r="B638" s="361"/>
      <c r="C638" s="361"/>
      <c r="D638" s="361"/>
      <c r="E638" s="361"/>
      <c r="F638" s="361"/>
      <c r="G638" s="363"/>
      <c r="H638" s="364"/>
      <c r="I638" s="363"/>
      <c r="J638" s="363"/>
    </row>
    <row r="639" spans="1:10" s="197" customFormat="1" x14ac:dyDescent="0.2">
      <c r="A639" s="360"/>
      <c r="B639" s="361"/>
      <c r="C639" s="361"/>
      <c r="D639" s="361"/>
      <c r="E639" s="361"/>
      <c r="F639" s="361"/>
      <c r="G639" s="363"/>
      <c r="H639" s="364"/>
      <c r="I639" s="363"/>
      <c r="J639" s="363"/>
    </row>
    <row r="640" spans="1:10" s="197" customFormat="1" x14ac:dyDescent="0.2">
      <c r="A640" s="360"/>
      <c r="B640" s="361"/>
      <c r="C640" s="361"/>
      <c r="D640" s="361"/>
      <c r="E640" s="361"/>
      <c r="F640" s="361"/>
      <c r="G640" s="363"/>
      <c r="H640" s="364"/>
      <c r="I640" s="363"/>
      <c r="J640" s="363"/>
    </row>
    <row r="641" spans="1:10" s="197" customFormat="1" x14ac:dyDescent="0.2">
      <c r="A641" s="360"/>
      <c r="B641" s="361"/>
      <c r="C641" s="361"/>
      <c r="D641" s="361"/>
      <c r="E641" s="361"/>
      <c r="F641" s="361"/>
      <c r="G641" s="363"/>
      <c r="H641" s="364"/>
      <c r="I641" s="363"/>
      <c r="J641" s="363"/>
    </row>
    <row r="642" spans="1:10" s="197" customFormat="1" x14ac:dyDescent="0.2">
      <c r="A642" s="360"/>
      <c r="B642" s="361"/>
      <c r="C642" s="361"/>
      <c r="D642" s="361"/>
      <c r="E642" s="361"/>
      <c r="F642" s="361"/>
      <c r="G642" s="363"/>
      <c r="H642" s="364"/>
      <c r="I642" s="363"/>
      <c r="J642" s="363"/>
    </row>
    <row r="643" spans="1:10" s="197" customFormat="1" x14ac:dyDescent="0.2">
      <c r="A643" s="360"/>
      <c r="B643" s="361"/>
      <c r="C643" s="361"/>
      <c r="D643" s="361"/>
      <c r="E643" s="361"/>
      <c r="F643" s="361"/>
      <c r="G643" s="363"/>
      <c r="H643" s="364"/>
      <c r="I643" s="363"/>
      <c r="J643" s="363"/>
    </row>
    <row r="644" spans="1:10" s="197" customFormat="1" x14ac:dyDescent="0.2">
      <c r="A644" s="360"/>
      <c r="B644" s="361"/>
      <c r="C644" s="361"/>
      <c r="D644" s="361"/>
      <c r="E644" s="361"/>
      <c r="F644" s="361"/>
      <c r="G644" s="363"/>
      <c r="H644" s="364"/>
      <c r="I644" s="363"/>
      <c r="J644" s="363"/>
    </row>
    <row r="645" spans="1:10" s="197" customFormat="1" x14ac:dyDescent="0.2">
      <c r="A645" s="360"/>
      <c r="B645" s="361"/>
      <c r="C645" s="361"/>
      <c r="D645" s="361"/>
      <c r="E645" s="361"/>
      <c r="F645" s="361"/>
      <c r="G645" s="363"/>
      <c r="H645" s="364"/>
      <c r="I645" s="363"/>
      <c r="J645" s="363"/>
    </row>
    <row r="646" spans="1:10" s="197" customFormat="1" x14ac:dyDescent="0.2">
      <c r="A646" s="360"/>
      <c r="B646" s="361"/>
      <c r="C646" s="361"/>
      <c r="D646" s="361"/>
      <c r="E646" s="361"/>
      <c r="F646" s="361"/>
      <c r="G646" s="363"/>
      <c r="H646" s="364"/>
      <c r="I646" s="363"/>
      <c r="J646" s="363"/>
    </row>
    <row r="647" spans="1:10" s="197" customFormat="1" x14ac:dyDescent="0.2">
      <c r="A647" s="360"/>
      <c r="B647" s="361"/>
      <c r="C647" s="361"/>
      <c r="D647" s="361"/>
      <c r="E647" s="361"/>
      <c r="F647" s="361"/>
      <c r="G647" s="363"/>
      <c r="H647" s="364"/>
      <c r="I647" s="363"/>
      <c r="J647" s="363"/>
    </row>
    <row r="648" spans="1:10" s="197" customFormat="1" x14ac:dyDescent="0.2">
      <c r="A648" s="360"/>
      <c r="B648" s="361"/>
      <c r="C648" s="361"/>
      <c r="D648" s="361"/>
      <c r="E648" s="361"/>
      <c r="F648" s="361"/>
      <c r="G648" s="363"/>
      <c r="H648" s="364"/>
      <c r="I648" s="363"/>
      <c r="J648" s="363"/>
    </row>
    <row r="649" spans="1:10" s="197" customFormat="1" x14ac:dyDescent="0.2">
      <c r="A649" s="360"/>
      <c r="B649" s="361"/>
      <c r="C649" s="361"/>
      <c r="D649" s="361"/>
      <c r="E649" s="361"/>
      <c r="F649" s="361"/>
      <c r="G649" s="363"/>
      <c r="H649" s="364"/>
      <c r="I649" s="363"/>
      <c r="J649" s="363"/>
    </row>
    <row r="650" spans="1:10" s="197" customFormat="1" x14ac:dyDescent="0.2">
      <c r="A650" s="360"/>
      <c r="B650" s="361"/>
      <c r="C650" s="361"/>
      <c r="D650" s="361"/>
      <c r="E650" s="361"/>
      <c r="F650" s="361"/>
      <c r="G650" s="363"/>
      <c r="H650" s="364"/>
      <c r="I650" s="363"/>
      <c r="J650" s="363"/>
    </row>
    <row r="651" spans="1:10" s="197" customFormat="1" x14ac:dyDescent="0.2">
      <c r="A651" s="360"/>
      <c r="B651" s="361"/>
      <c r="C651" s="361"/>
      <c r="D651" s="361"/>
      <c r="E651" s="361"/>
      <c r="F651" s="361"/>
      <c r="G651" s="363"/>
      <c r="H651" s="364"/>
      <c r="I651" s="363"/>
      <c r="J651" s="363"/>
    </row>
    <row r="652" spans="1:10" s="197" customFormat="1" x14ac:dyDescent="0.2">
      <c r="A652" s="360"/>
      <c r="B652" s="361"/>
      <c r="C652" s="361"/>
      <c r="D652" s="361"/>
      <c r="E652" s="361"/>
      <c r="F652" s="361"/>
      <c r="G652" s="363"/>
      <c r="H652" s="364"/>
      <c r="I652" s="363"/>
      <c r="J652" s="363"/>
    </row>
    <row r="653" spans="1:10" s="197" customFormat="1" x14ac:dyDescent="0.2">
      <c r="A653" s="360"/>
      <c r="B653" s="361"/>
      <c r="C653" s="361"/>
      <c r="D653" s="361"/>
      <c r="E653" s="361"/>
      <c r="F653" s="361"/>
      <c r="G653" s="363"/>
      <c r="H653" s="364"/>
      <c r="I653" s="363"/>
      <c r="J653" s="363"/>
    </row>
    <row r="654" spans="1:10" s="197" customFormat="1" x14ac:dyDescent="0.2">
      <c r="A654" s="360"/>
      <c r="B654" s="361"/>
      <c r="C654" s="361"/>
      <c r="D654" s="361"/>
      <c r="E654" s="361"/>
      <c r="F654" s="361"/>
      <c r="G654" s="363"/>
      <c r="H654" s="364"/>
      <c r="I654" s="363"/>
      <c r="J654" s="363"/>
    </row>
    <row r="655" spans="1:10" s="197" customFormat="1" x14ac:dyDescent="0.2">
      <c r="A655" s="360"/>
      <c r="B655" s="361"/>
      <c r="C655" s="361"/>
      <c r="D655" s="361"/>
      <c r="E655" s="361"/>
      <c r="F655" s="361"/>
      <c r="G655" s="363"/>
      <c r="H655" s="364"/>
      <c r="I655" s="363"/>
      <c r="J655" s="363"/>
    </row>
    <row r="656" spans="1:10" s="197" customFormat="1" x14ac:dyDescent="0.2">
      <c r="A656" s="360"/>
      <c r="B656" s="361"/>
      <c r="C656" s="361"/>
      <c r="D656" s="361"/>
      <c r="E656" s="361"/>
      <c r="F656" s="361"/>
      <c r="G656" s="363"/>
      <c r="H656" s="364"/>
      <c r="I656" s="363"/>
      <c r="J656" s="363"/>
    </row>
    <row r="657" spans="1:10" s="197" customFormat="1" x14ac:dyDescent="0.2">
      <c r="A657" s="360"/>
      <c r="B657" s="361"/>
      <c r="C657" s="361"/>
      <c r="D657" s="361"/>
      <c r="E657" s="361"/>
      <c r="F657" s="361"/>
      <c r="G657" s="363"/>
      <c r="H657" s="364"/>
      <c r="I657" s="363"/>
      <c r="J657" s="363"/>
    </row>
    <row r="658" spans="1:10" s="197" customFormat="1" x14ac:dyDescent="0.2">
      <c r="A658" s="360"/>
      <c r="B658" s="361"/>
      <c r="C658" s="361"/>
      <c r="D658" s="361"/>
      <c r="E658" s="361"/>
      <c r="F658" s="361"/>
      <c r="G658" s="363"/>
      <c r="H658" s="364"/>
      <c r="I658" s="363"/>
      <c r="J658" s="363"/>
    </row>
    <row r="659" spans="1:10" s="197" customFormat="1" x14ac:dyDescent="0.2">
      <c r="A659" s="360"/>
      <c r="B659" s="361"/>
      <c r="C659" s="361"/>
      <c r="D659" s="361"/>
      <c r="E659" s="361"/>
      <c r="F659" s="361"/>
      <c r="G659" s="363"/>
      <c r="H659" s="364"/>
      <c r="I659" s="363"/>
      <c r="J659" s="363"/>
    </row>
    <row r="660" spans="1:10" s="197" customFormat="1" x14ac:dyDescent="0.2">
      <c r="A660" s="360"/>
      <c r="B660" s="361"/>
      <c r="C660" s="361"/>
      <c r="D660" s="361"/>
      <c r="E660" s="361"/>
      <c r="F660" s="361"/>
      <c r="G660" s="363"/>
      <c r="H660" s="364"/>
      <c r="I660" s="363"/>
      <c r="J660" s="363"/>
    </row>
    <row r="661" spans="1:10" s="197" customFormat="1" x14ac:dyDescent="0.2">
      <c r="A661" s="360"/>
      <c r="B661" s="361"/>
      <c r="C661" s="361"/>
      <c r="D661" s="361"/>
      <c r="E661" s="361"/>
      <c r="F661" s="361"/>
      <c r="G661" s="363"/>
      <c r="H661" s="364"/>
      <c r="I661" s="363"/>
      <c r="J661" s="363"/>
    </row>
    <row r="662" spans="1:10" s="197" customFormat="1" x14ac:dyDescent="0.2">
      <c r="A662" s="360"/>
      <c r="B662" s="361"/>
      <c r="C662" s="361"/>
      <c r="D662" s="361"/>
      <c r="E662" s="361"/>
      <c r="F662" s="361"/>
      <c r="G662" s="363"/>
      <c r="H662" s="364"/>
      <c r="I662" s="363"/>
      <c r="J662" s="363"/>
    </row>
    <row r="663" spans="1:10" s="197" customFormat="1" x14ac:dyDescent="0.2">
      <c r="A663" s="360"/>
      <c r="B663" s="361"/>
      <c r="C663" s="361"/>
      <c r="D663" s="361"/>
      <c r="E663" s="361"/>
      <c r="F663" s="361"/>
      <c r="G663" s="363"/>
      <c r="H663" s="364"/>
      <c r="I663" s="363"/>
      <c r="J663" s="363"/>
    </row>
    <row r="664" spans="1:10" s="197" customFormat="1" x14ac:dyDescent="0.2">
      <c r="A664" s="360"/>
      <c r="B664" s="361"/>
      <c r="C664" s="361"/>
      <c r="D664" s="361"/>
      <c r="E664" s="361"/>
      <c r="F664" s="361"/>
      <c r="G664" s="363"/>
      <c r="H664" s="364"/>
      <c r="I664" s="363"/>
      <c r="J664" s="363"/>
    </row>
    <row r="665" spans="1:10" s="197" customFormat="1" x14ac:dyDescent="0.2">
      <c r="A665" s="360"/>
      <c r="B665" s="361"/>
      <c r="C665" s="361"/>
      <c r="D665" s="361"/>
      <c r="E665" s="361"/>
      <c r="F665" s="361"/>
      <c r="G665" s="363"/>
      <c r="H665" s="364"/>
      <c r="I665" s="363"/>
      <c r="J665" s="363"/>
    </row>
    <row r="666" spans="1:10" s="197" customFormat="1" x14ac:dyDescent="0.2">
      <c r="A666" s="360"/>
      <c r="B666" s="361"/>
      <c r="C666" s="361"/>
      <c r="D666" s="361"/>
      <c r="E666" s="361"/>
      <c r="F666" s="361"/>
      <c r="G666" s="363"/>
      <c r="H666" s="364"/>
      <c r="I666" s="363"/>
      <c r="J666" s="363"/>
    </row>
    <row r="667" spans="1:10" s="197" customFormat="1" x14ac:dyDescent="0.2">
      <c r="A667" s="360"/>
      <c r="B667" s="361"/>
      <c r="C667" s="361"/>
      <c r="D667" s="361"/>
      <c r="E667" s="361"/>
      <c r="F667" s="361"/>
      <c r="G667" s="363"/>
      <c r="H667" s="364"/>
      <c r="I667" s="363"/>
      <c r="J667" s="363"/>
    </row>
    <row r="668" spans="1:10" s="197" customFormat="1" x14ac:dyDescent="0.2">
      <c r="A668" s="360"/>
      <c r="B668" s="361"/>
      <c r="C668" s="361"/>
      <c r="D668" s="361"/>
      <c r="E668" s="361"/>
      <c r="F668" s="361"/>
      <c r="G668" s="363"/>
      <c r="H668" s="364"/>
      <c r="I668" s="363"/>
      <c r="J668" s="363"/>
    </row>
    <row r="669" spans="1:10" s="197" customFormat="1" x14ac:dyDescent="0.2">
      <c r="A669" s="360"/>
      <c r="B669" s="361"/>
      <c r="C669" s="361"/>
      <c r="D669" s="361"/>
      <c r="E669" s="361"/>
      <c r="F669" s="361"/>
      <c r="G669" s="363"/>
      <c r="H669" s="364"/>
      <c r="I669" s="363"/>
      <c r="J669" s="363"/>
    </row>
    <row r="670" spans="1:10" s="197" customFormat="1" x14ac:dyDescent="0.2">
      <c r="A670" s="360"/>
      <c r="B670" s="361"/>
      <c r="C670" s="361"/>
      <c r="D670" s="361"/>
      <c r="E670" s="361"/>
      <c r="F670" s="361"/>
      <c r="G670" s="363"/>
      <c r="H670" s="364"/>
      <c r="I670" s="363"/>
      <c r="J670" s="363"/>
    </row>
    <row r="671" spans="1:10" s="197" customFormat="1" x14ac:dyDescent="0.2">
      <c r="A671" s="360"/>
      <c r="B671" s="361"/>
      <c r="C671" s="361"/>
      <c r="D671" s="361"/>
      <c r="E671" s="361"/>
      <c r="F671" s="361"/>
      <c r="G671" s="363"/>
      <c r="H671" s="364"/>
      <c r="I671" s="363"/>
      <c r="J671" s="363"/>
    </row>
    <row r="672" spans="1:10" s="197" customFormat="1" x14ac:dyDescent="0.2">
      <c r="A672" s="360"/>
      <c r="B672" s="361"/>
      <c r="C672" s="361"/>
      <c r="D672" s="361"/>
      <c r="E672" s="361"/>
      <c r="F672" s="361"/>
      <c r="G672" s="363"/>
      <c r="H672" s="364"/>
      <c r="I672" s="363"/>
      <c r="J672" s="363"/>
    </row>
    <row r="673" spans="1:10" s="197" customFormat="1" x14ac:dyDescent="0.2">
      <c r="A673" s="360"/>
      <c r="B673" s="361"/>
      <c r="C673" s="361"/>
      <c r="D673" s="361"/>
      <c r="E673" s="361"/>
      <c r="F673" s="361"/>
      <c r="G673" s="363"/>
      <c r="H673" s="364"/>
      <c r="I673" s="363"/>
      <c r="J673" s="363"/>
    </row>
    <row r="674" spans="1:10" s="197" customFormat="1" x14ac:dyDescent="0.2">
      <c r="A674" s="360"/>
      <c r="B674" s="361"/>
      <c r="C674" s="361"/>
      <c r="D674" s="361"/>
      <c r="E674" s="361"/>
      <c r="F674" s="361"/>
      <c r="G674" s="363"/>
      <c r="H674" s="364"/>
      <c r="I674" s="363"/>
      <c r="J674" s="363"/>
    </row>
    <row r="675" spans="1:10" s="197" customFormat="1" x14ac:dyDescent="0.2">
      <c r="A675" s="360"/>
      <c r="B675" s="361"/>
      <c r="C675" s="361"/>
      <c r="D675" s="361"/>
      <c r="E675" s="361"/>
      <c r="F675" s="361"/>
      <c r="G675" s="363"/>
      <c r="H675" s="364"/>
      <c r="I675" s="363"/>
      <c r="J675" s="363"/>
    </row>
    <row r="676" spans="1:10" s="197" customFormat="1" x14ac:dyDescent="0.2">
      <c r="A676" s="360"/>
      <c r="B676" s="361"/>
      <c r="C676" s="361"/>
      <c r="D676" s="361"/>
      <c r="E676" s="361"/>
      <c r="F676" s="361"/>
      <c r="G676" s="363"/>
      <c r="H676" s="364"/>
      <c r="I676" s="363"/>
      <c r="J676" s="363"/>
    </row>
    <row r="677" spans="1:10" s="197" customFormat="1" x14ac:dyDescent="0.2">
      <c r="A677" s="360"/>
      <c r="B677" s="361"/>
      <c r="C677" s="361"/>
      <c r="D677" s="361"/>
      <c r="E677" s="361"/>
      <c r="F677" s="361"/>
      <c r="G677" s="363"/>
      <c r="H677" s="364"/>
      <c r="I677" s="363"/>
      <c r="J677" s="363"/>
    </row>
    <row r="678" spans="1:10" s="197" customFormat="1" x14ac:dyDescent="0.2">
      <c r="A678" s="360"/>
      <c r="B678" s="361"/>
      <c r="C678" s="361"/>
      <c r="D678" s="361"/>
      <c r="E678" s="361"/>
      <c r="F678" s="361"/>
      <c r="G678" s="363"/>
      <c r="H678" s="364"/>
      <c r="I678" s="363"/>
      <c r="J678" s="363"/>
    </row>
    <row r="679" spans="1:10" s="197" customFormat="1" x14ac:dyDescent="0.2">
      <c r="A679" s="360"/>
      <c r="B679" s="361"/>
      <c r="C679" s="361"/>
      <c r="D679" s="361"/>
      <c r="E679" s="361"/>
      <c r="F679" s="361"/>
      <c r="G679" s="363"/>
      <c r="H679" s="364"/>
      <c r="I679" s="363"/>
      <c r="J679" s="363"/>
    </row>
    <row r="680" spans="1:10" s="197" customFormat="1" x14ac:dyDescent="0.2">
      <c r="A680" s="360"/>
      <c r="B680" s="361"/>
      <c r="C680" s="361"/>
      <c r="D680" s="361"/>
      <c r="E680" s="361"/>
      <c r="F680" s="361"/>
      <c r="G680" s="363"/>
      <c r="H680" s="364"/>
      <c r="I680" s="363"/>
      <c r="J680" s="363"/>
    </row>
    <row r="681" spans="1:10" s="197" customFormat="1" x14ac:dyDescent="0.2">
      <c r="A681" s="360"/>
      <c r="B681" s="361"/>
      <c r="C681" s="361"/>
      <c r="D681" s="361"/>
      <c r="E681" s="361"/>
      <c r="F681" s="361"/>
      <c r="G681" s="363"/>
      <c r="H681" s="364"/>
      <c r="I681" s="363"/>
      <c r="J681" s="363"/>
    </row>
    <row r="682" spans="1:10" s="197" customFormat="1" x14ac:dyDescent="0.2">
      <c r="A682" s="360"/>
      <c r="B682" s="361"/>
      <c r="C682" s="361"/>
      <c r="D682" s="361"/>
      <c r="E682" s="361"/>
      <c r="F682" s="361"/>
      <c r="G682" s="363"/>
      <c r="H682" s="364"/>
      <c r="I682" s="363"/>
      <c r="J682" s="363"/>
    </row>
    <row r="683" spans="1:10" s="197" customFormat="1" x14ac:dyDescent="0.2">
      <c r="A683" s="360"/>
      <c r="B683" s="361"/>
      <c r="C683" s="361"/>
      <c r="D683" s="361"/>
      <c r="E683" s="361"/>
      <c r="F683" s="361"/>
      <c r="G683" s="363"/>
      <c r="H683" s="364"/>
      <c r="I683" s="363"/>
      <c r="J683" s="363"/>
    </row>
    <row r="684" spans="1:10" s="197" customFormat="1" x14ac:dyDescent="0.2">
      <c r="A684" s="360"/>
      <c r="B684" s="361"/>
      <c r="C684" s="361"/>
      <c r="D684" s="361"/>
      <c r="E684" s="361"/>
      <c r="F684" s="361"/>
      <c r="G684" s="363"/>
      <c r="H684" s="364"/>
      <c r="I684" s="363"/>
      <c r="J684" s="363"/>
    </row>
    <row r="685" spans="1:10" s="197" customFormat="1" x14ac:dyDescent="0.2">
      <c r="A685" s="360"/>
      <c r="B685" s="361"/>
      <c r="C685" s="361"/>
      <c r="D685" s="361"/>
      <c r="E685" s="361"/>
      <c r="F685" s="361"/>
      <c r="G685" s="363"/>
      <c r="H685" s="364"/>
      <c r="I685" s="363"/>
      <c r="J685" s="363"/>
    </row>
    <row r="686" spans="1:10" s="197" customFormat="1" x14ac:dyDescent="0.2">
      <c r="A686" s="360"/>
      <c r="B686" s="361"/>
      <c r="C686" s="361"/>
      <c r="D686" s="361"/>
      <c r="E686" s="361"/>
      <c r="F686" s="361"/>
      <c r="G686" s="363"/>
      <c r="H686" s="364"/>
      <c r="I686" s="363"/>
      <c r="J686" s="363"/>
    </row>
    <row r="687" spans="1:10" s="197" customFormat="1" x14ac:dyDescent="0.2">
      <c r="A687" s="360"/>
      <c r="B687" s="361"/>
      <c r="C687" s="361"/>
      <c r="D687" s="361"/>
      <c r="E687" s="361"/>
      <c r="F687" s="361"/>
      <c r="G687" s="363"/>
      <c r="H687" s="364"/>
      <c r="I687" s="363"/>
      <c r="J687" s="363"/>
    </row>
    <row r="688" spans="1:10" s="197" customFormat="1" x14ac:dyDescent="0.2">
      <c r="A688" s="360"/>
      <c r="B688" s="361"/>
      <c r="C688" s="361"/>
      <c r="D688" s="361"/>
      <c r="E688" s="361"/>
      <c r="F688" s="361"/>
      <c r="G688" s="363"/>
      <c r="H688" s="364"/>
      <c r="I688" s="363"/>
      <c r="J688" s="363"/>
    </row>
    <row r="689" spans="1:10" s="197" customFormat="1" x14ac:dyDescent="0.2">
      <c r="A689" s="360"/>
      <c r="B689" s="361"/>
      <c r="C689" s="361"/>
      <c r="D689" s="361"/>
      <c r="E689" s="361"/>
      <c r="F689" s="361"/>
      <c r="G689" s="363"/>
      <c r="H689" s="364"/>
      <c r="I689" s="363"/>
      <c r="J689" s="363"/>
    </row>
    <row r="690" spans="1:10" s="197" customFormat="1" x14ac:dyDescent="0.2">
      <c r="A690" s="360"/>
      <c r="B690" s="361"/>
      <c r="C690" s="361"/>
      <c r="D690" s="361"/>
      <c r="E690" s="361"/>
      <c r="F690" s="361"/>
      <c r="G690" s="363"/>
      <c r="H690" s="364"/>
      <c r="I690" s="363"/>
      <c r="J690" s="363"/>
    </row>
    <row r="691" spans="1:10" s="197" customFormat="1" x14ac:dyDescent="0.2">
      <c r="A691" s="360"/>
      <c r="B691" s="361"/>
      <c r="C691" s="361"/>
      <c r="D691" s="361"/>
      <c r="E691" s="361"/>
      <c r="F691" s="361"/>
      <c r="G691" s="363"/>
      <c r="H691" s="364"/>
      <c r="I691" s="363"/>
      <c r="J691" s="363"/>
    </row>
    <row r="692" spans="1:10" s="197" customFormat="1" x14ac:dyDescent="0.2">
      <c r="A692" s="360"/>
      <c r="B692" s="361"/>
      <c r="C692" s="361"/>
      <c r="D692" s="361"/>
      <c r="E692" s="361"/>
      <c r="F692" s="361"/>
      <c r="G692" s="363"/>
      <c r="H692" s="364"/>
      <c r="I692" s="363"/>
      <c r="J692" s="363"/>
    </row>
    <row r="693" spans="1:10" s="197" customFormat="1" x14ac:dyDescent="0.2">
      <c r="A693" s="360"/>
      <c r="B693" s="361"/>
      <c r="C693" s="361"/>
      <c r="D693" s="361"/>
      <c r="E693" s="361"/>
      <c r="F693" s="361"/>
      <c r="G693" s="363"/>
      <c r="H693" s="364"/>
      <c r="I693" s="363"/>
      <c r="J693" s="363"/>
    </row>
    <row r="694" spans="1:10" s="197" customFormat="1" x14ac:dyDescent="0.2">
      <c r="A694" s="360"/>
      <c r="B694" s="361"/>
      <c r="C694" s="361"/>
      <c r="D694" s="361"/>
      <c r="E694" s="361"/>
      <c r="F694" s="361"/>
      <c r="G694" s="363"/>
      <c r="H694" s="364"/>
      <c r="I694" s="363"/>
      <c r="J694" s="363"/>
    </row>
    <row r="695" spans="1:10" s="197" customFormat="1" x14ac:dyDescent="0.2">
      <c r="A695" s="360"/>
      <c r="B695" s="361"/>
      <c r="C695" s="361"/>
      <c r="D695" s="361"/>
      <c r="E695" s="361"/>
      <c r="F695" s="361"/>
      <c r="G695" s="363"/>
      <c r="H695" s="364"/>
      <c r="I695" s="363"/>
      <c r="J695" s="363"/>
    </row>
    <row r="696" spans="1:10" s="197" customFormat="1" x14ac:dyDescent="0.2">
      <c r="A696" s="360"/>
      <c r="B696" s="361"/>
      <c r="C696" s="361"/>
      <c r="D696" s="361"/>
      <c r="E696" s="361"/>
      <c r="F696" s="361"/>
      <c r="G696" s="363"/>
      <c r="H696" s="364"/>
      <c r="I696" s="363"/>
      <c r="J696" s="363"/>
    </row>
    <row r="697" spans="1:10" s="197" customFormat="1" x14ac:dyDescent="0.2">
      <c r="A697" s="360"/>
      <c r="B697" s="361"/>
      <c r="C697" s="361"/>
      <c r="D697" s="361"/>
      <c r="E697" s="361"/>
      <c r="F697" s="361"/>
      <c r="G697" s="363"/>
      <c r="H697" s="364"/>
      <c r="I697" s="363"/>
      <c r="J697" s="363"/>
    </row>
    <row r="698" spans="1:10" s="197" customFormat="1" x14ac:dyDescent="0.2">
      <c r="A698" s="360"/>
      <c r="B698" s="361"/>
      <c r="C698" s="361"/>
      <c r="D698" s="361"/>
      <c r="E698" s="361"/>
      <c r="F698" s="361"/>
      <c r="G698" s="363"/>
      <c r="H698" s="364"/>
      <c r="I698" s="363"/>
      <c r="J698" s="363"/>
    </row>
    <row r="699" spans="1:10" s="197" customFormat="1" x14ac:dyDescent="0.2">
      <c r="A699" s="360"/>
      <c r="B699" s="361"/>
      <c r="C699" s="361"/>
      <c r="D699" s="361"/>
      <c r="E699" s="361"/>
      <c r="F699" s="361"/>
      <c r="G699" s="363"/>
      <c r="H699" s="364"/>
      <c r="I699" s="363"/>
      <c r="J699" s="363"/>
    </row>
    <row r="700" spans="1:10" s="197" customFormat="1" x14ac:dyDescent="0.2">
      <c r="A700" s="360"/>
      <c r="B700" s="361"/>
      <c r="C700" s="361"/>
      <c r="D700" s="361"/>
      <c r="E700" s="361"/>
      <c r="F700" s="361"/>
      <c r="G700" s="363"/>
      <c r="H700" s="364"/>
      <c r="I700" s="363"/>
      <c r="J700" s="363"/>
    </row>
    <row r="701" spans="1:10" s="197" customFormat="1" x14ac:dyDescent="0.2">
      <c r="A701" s="360"/>
      <c r="B701" s="361"/>
      <c r="C701" s="361"/>
      <c r="D701" s="361"/>
      <c r="E701" s="361"/>
      <c r="F701" s="361"/>
      <c r="G701" s="363"/>
      <c r="H701" s="364"/>
      <c r="I701" s="363"/>
      <c r="J701" s="363"/>
    </row>
    <row r="702" spans="1:10" s="197" customFormat="1" x14ac:dyDescent="0.2">
      <c r="A702" s="360"/>
      <c r="B702" s="361"/>
      <c r="C702" s="361"/>
      <c r="D702" s="361"/>
      <c r="E702" s="361"/>
      <c r="F702" s="361"/>
      <c r="G702" s="363"/>
      <c r="H702" s="364"/>
      <c r="I702" s="363"/>
      <c r="J702" s="363"/>
    </row>
    <row r="703" spans="1:10" s="197" customFormat="1" x14ac:dyDescent="0.2">
      <c r="A703" s="360"/>
      <c r="B703" s="361"/>
      <c r="C703" s="361"/>
      <c r="D703" s="361"/>
      <c r="E703" s="361"/>
      <c r="F703" s="361"/>
      <c r="G703" s="363"/>
      <c r="H703" s="364"/>
      <c r="I703" s="363"/>
      <c r="J703" s="363"/>
    </row>
    <row r="704" spans="1:10" s="197" customFormat="1" x14ac:dyDescent="0.2">
      <c r="A704" s="360"/>
      <c r="B704" s="361"/>
      <c r="C704" s="361"/>
      <c r="D704" s="361"/>
      <c r="E704" s="361"/>
      <c r="F704" s="361"/>
      <c r="G704" s="363"/>
      <c r="H704" s="364"/>
      <c r="I704" s="363"/>
      <c r="J704" s="363"/>
    </row>
    <row r="705" spans="1:10" s="197" customFormat="1" x14ac:dyDescent="0.2">
      <c r="A705" s="360"/>
      <c r="B705" s="361"/>
      <c r="C705" s="361"/>
      <c r="D705" s="361"/>
      <c r="E705" s="361"/>
      <c r="F705" s="361"/>
      <c r="G705" s="363"/>
      <c r="H705" s="364"/>
      <c r="I705" s="363"/>
      <c r="J705" s="363"/>
    </row>
    <row r="706" spans="1:10" s="197" customFormat="1" x14ac:dyDescent="0.2">
      <c r="A706" s="360"/>
      <c r="B706" s="361"/>
      <c r="C706" s="361"/>
      <c r="D706" s="361"/>
      <c r="E706" s="361"/>
      <c r="F706" s="361"/>
      <c r="G706" s="363"/>
      <c r="H706" s="364"/>
      <c r="I706" s="363"/>
      <c r="J706" s="363"/>
    </row>
    <row r="707" spans="1:10" s="197" customFormat="1" x14ac:dyDescent="0.2">
      <c r="A707" s="360"/>
      <c r="B707" s="361"/>
      <c r="C707" s="361"/>
      <c r="D707" s="361"/>
      <c r="E707" s="361"/>
      <c r="F707" s="361"/>
      <c r="G707" s="363"/>
      <c r="H707" s="364"/>
      <c r="I707" s="363"/>
      <c r="J707" s="363"/>
    </row>
    <row r="708" spans="1:10" s="197" customFormat="1" x14ac:dyDescent="0.2">
      <c r="A708" s="360"/>
      <c r="B708" s="361"/>
      <c r="C708" s="361"/>
      <c r="D708" s="361"/>
      <c r="E708" s="361"/>
      <c r="F708" s="361"/>
      <c r="G708" s="363"/>
      <c r="H708" s="364"/>
      <c r="I708" s="363"/>
      <c r="J708" s="363"/>
    </row>
    <row r="709" spans="1:10" s="197" customFormat="1" x14ac:dyDescent="0.2">
      <c r="A709" s="360"/>
      <c r="B709" s="361"/>
      <c r="C709" s="361"/>
      <c r="D709" s="361"/>
      <c r="E709" s="361"/>
      <c r="F709" s="361"/>
      <c r="G709" s="363"/>
      <c r="H709" s="364"/>
      <c r="I709" s="363"/>
      <c r="J709" s="363"/>
    </row>
    <row r="710" spans="1:10" s="197" customFormat="1" x14ac:dyDescent="0.2">
      <c r="A710" s="360"/>
      <c r="B710" s="361"/>
      <c r="C710" s="361"/>
      <c r="D710" s="361"/>
      <c r="E710" s="361"/>
      <c r="F710" s="361"/>
      <c r="G710" s="363"/>
      <c r="H710" s="364"/>
      <c r="I710" s="363"/>
      <c r="J710" s="363"/>
    </row>
    <row r="711" spans="1:10" s="197" customFormat="1" x14ac:dyDescent="0.2">
      <c r="A711" s="360"/>
      <c r="B711" s="361"/>
      <c r="C711" s="361"/>
      <c r="D711" s="361"/>
      <c r="E711" s="361"/>
      <c r="F711" s="361"/>
      <c r="G711" s="363"/>
      <c r="H711" s="364"/>
      <c r="I711" s="363"/>
      <c r="J711" s="363"/>
    </row>
    <row r="712" spans="1:10" s="197" customFormat="1" x14ac:dyDescent="0.2">
      <c r="A712" s="360"/>
      <c r="B712" s="361"/>
      <c r="C712" s="361"/>
      <c r="D712" s="361"/>
      <c r="E712" s="361"/>
      <c r="F712" s="361"/>
      <c r="G712" s="363"/>
      <c r="H712" s="364"/>
      <c r="I712" s="363"/>
      <c r="J712" s="363"/>
    </row>
    <row r="713" spans="1:10" s="197" customFormat="1" x14ac:dyDescent="0.2">
      <c r="A713" s="360"/>
      <c r="B713" s="361"/>
      <c r="C713" s="361"/>
      <c r="D713" s="361"/>
      <c r="E713" s="361"/>
      <c r="F713" s="361"/>
      <c r="G713" s="363"/>
      <c r="H713" s="364"/>
      <c r="I713" s="363"/>
      <c r="J713" s="363"/>
    </row>
    <row r="714" spans="1:10" s="197" customFormat="1" x14ac:dyDescent="0.2">
      <c r="A714" s="360"/>
      <c r="B714" s="361"/>
      <c r="C714" s="361"/>
      <c r="D714" s="361"/>
      <c r="E714" s="361"/>
      <c r="F714" s="361"/>
      <c r="G714" s="363"/>
      <c r="H714" s="364"/>
      <c r="I714" s="363"/>
      <c r="J714" s="363"/>
    </row>
    <row r="715" spans="1:10" s="197" customFormat="1" x14ac:dyDescent="0.2">
      <c r="A715" s="360"/>
      <c r="B715" s="361"/>
      <c r="C715" s="361"/>
      <c r="D715" s="361"/>
      <c r="E715" s="361"/>
      <c r="F715" s="361"/>
      <c r="G715" s="363"/>
      <c r="H715" s="364"/>
      <c r="I715" s="363"/>
      <c r="J715" s="363"/>
    </row>
    <row r="716" spans="1:10" s="197" customFormat="1" x14ac:dyDescent="0.2">
      <c r="A716" s="360"/>
      <c r="B716" s="361"/>
      <c r="C716" s="361"/>
      <c r="D716" s="361"/>
      <c r="E716" s="361"/>
      <c r="F716" s="361"/>
      <c r="G716" s="363"/>
      <c r="H716" s="364"/>
      <c r="I716" s="363"/>
      <c r="J716" s="363"/>
    </row>
    <row r="717" spans="1:10" s="197" customFormat="1" x14ac:dyDescent="0.2">
      <c r="A717" s="360"/>
      <c r="B717" s="361"/>
      <c r="C717" s="361"/>
      <c r="D717" s="361"/>
      <c r="E717" s="361"/>
      <c r="F717" s="361"/>
      <c r="G717" s="363"/>
      <c r="H717" s="364"/>
      <c r="I717" s="363"/>
      <c r="J717" s="363"/>
    </row>
    <row r="718" spans="1:10" s="197" customFormat="1" x14ac:dyDescent="0.2">
      <c r="A718" s="360"/>
      <c r="B718" s="361"/>
      <c r="C718" s="361"/>
      <c r="D718" s="361"/>
      <c r="E718" s="361"/>
      <c r="F718" s="361"/>
      <c r="G718" s="363"/>
      <c r="H718" s="364"/>
      <c r="I718" s="363"/>
      <c r="J718" s="363"/>
    </row>
    <row r="719" spans="1:10" s="197" customFormat="1" x14ac:dyDescent="0.2">
      <c r="A719" s="360"/>
      <c r="B719" s="361"/>
      <c r="C719" s="361"/>
      <c r="D719" s="361"/>
      <c r="E719" s="361"/>
      <c r="F719" s="361"/>
      <c r="G719" s="363"/>
      <c r="H719" s="364"/>
      <c r="I719" s="363"/>
      <c r="J719" s="363"/>
    </row>
    <row r="720" spans="1:10" s="197" customFormat="1" x14ac:dyDescent="0.2">
      <c r="A720" s="360"/>
      <c r="B720" s="361"/>
      <c r="C720" s="361"/>
      <c r="D720" s="361"/>
      <c r="E720" s="361"/>
      <c r="F720" s="361"/>
      <c r="G720" s="363"/>
      <c r="H720" s="364"/>
      <c r="I720" s="363"/>
      <c r="J720" s="363"/>
    </row>
    <row r="721" spans="1:10" s="197" customFormat="1" x14ac:dyDescent="0.2">
      <c r="A721" s="360"/>
      <c r="B721" s="361"/>
      <c r="C721" s="361"/>
      <c r="D721" s="361"/>
      <c r="E721" s="361"/>
      <c r="F721" s="361"/>
      <c r="G721" s="363"/>
      <c r="H721" s="364"/>
      <c r="I721" s="363"/>
      <c r="J721" s="363"/>
    </row>
    <row r="722" spans="1:10" s="197" customFormat="1" x14ac:dyDescent="0.2">
      <c r="A722" s="360"/>
      <c r="B722" s="361"/>
      <c r="C722" s="361"/>
      <c r="D722" s="361"/>
      <c r="E722" s="361"/>
      <c r="F722" s="361"/>
      <c r="G722" s="363"/>
      <c r="H722" s="364"/>
      <c r="I722" s="363"/>
      <c r="J722" s="363"/>
    </row>
    <row r="723" spans="1:10" s="197" customFormat="1" x14ac:dyDescent="0.2">
      <c r="A723" s="360"/>
      <c r="B723" s="361"/>
      <c r="C723" s="361"/>
      <c r="D723" s="361"/>
      <c r="E723" s="361"/>
      <c r="F723" s="361"/>
      <c r="G723" s="363"/>
      <c r="H723" s="364"/>
      <c r="I723" s="363"/>
      <c r="J723" s="363"/>
    </row>
    <row r="724" spans="1:10" s="197" customFormat="1" x14ac:dyDescent="0.2">
      <c r="A724" s="360"/>
      <c r="B724" s="361"/>
      <c r="C724" s="361"/>
      <c r="D724" s="361"/>
      <c r="E724" s="361"/>
      <c r="F724" s="361"/>
      <c r="G724" s="363"/>
      <c r="H724" s="364"/>
      <c r="I724" s="363"/>
      <c r="J724" s="363"/>
    </row>
    <row r="725" spans="1:10" s="197" customFormat="1" x14ac:dyDescent="0.2">
      <c r="A725" s="360"/>
      <c r="B725" s="361"/>
      <c r="C725" s="361"/>
      <c r="D725" s="361"/>
      <c r="E725" s="361"/>
      <c r="F725" s="361"/>
      <c r="G725" s="363"/>
      <c r="H725" s="364"/>
      <c r="I725" s="363"/>
      <c r="J725" s="363"/>
    </row>
    <row r="726" spans="1:10" s="197" customFormat="1" x14ac:dyDescent="0.2">
      <c r="A726" s="360"/>
      <c r="B726" s="361"/>
      <c r="C726" s="361"/>
      <c r="D726" s="361"/>
      <c r="E726" s="361"/>
      <c r="F726" s="361"/>
      <c r="G726" s="363"/>
      <c r="H726" s="364"/>
      <c r="I726" s="363"/>
      <c r="J726" s="363"/>
    </row>
    <row r="727" spans="1:10" s="197" customFormat="1" x14ac:dyDescent="0.2">
      <c r="A727" s="360"/>
      <c r="B727" s="361"/>
      <c r="C727" s="361"/>
      <c r="D727" s="361"/>
      <c r="E727" s="361"/>
      <c r="F727" s="361"/>
      <c r="G727" s="363"/>
      <c r="H727" s="364"/>
      <c r="I727" s="363"/>
      <c r="J727" s="363"/>
    </row>
    <row r="728" spans="1:10" s="197" customFormat="1" x14ac:dyDescent="0.2">
      <c r="A728" s="360"/>
      <c r="B728" s="361"/>
      <c r="C728" s="361"/>
      <c r="D728" s="361"/>
      <c r="E728" s="361"/>
      <c r="F728" s="361"/>
      <c r="G728" s="363"/>
      <c r="H728" s="364"/>
      <c r="I728" s="363"/>
      <c r="J728" s="363"/>
    </row>
    <row r="729" spans="1:10" s="197" customFormat="1" x14ac:dyDescent="0.2">
      <c r="A729" s="360"/>
      <c r="B729" s="361"/>
      <c r="C729" s="361"/>
      <c r="D729" s="361"/>
      <c r="E729" s="361"/>
      <c r="F729" s="361"/>
      <c r="G729" s="363"/>
      <c r="H729" s="364"/>
      <c r="I729" s="363"/>
      <c r="J729" s="363"/>
    </row>
    <row r="730" spans="1:10" s="197" customFormat="1" x14ac:dyDescent="0.2">
      <c r="A730" s="360"/>
      <c r="B730" s="361"/>
      <c r="C730" s="361"/>
      <c r="D730" s="361"/>
      <c r="E730" s="361"/>
      <c r="F730" s="361"/>
      <c r="G730" s="363"/>
      <c r="H730" s="364"/>
      <c r="I730" s="363"/>
      <c r="J730" s="363"/>
    </row>
    <row r="731" spans="1:10" s="197" customFormat="1" x14ac:dyDescent="0.2">
      <c r="A731" s="360"/>
      <c r="B731" s="361"/>
      <c r="C731" s="361"/>
      <c r="D731" s="361"/>
      <c r="E731" s="361"/>
      <c r="F731" s="361"/>
      <c r="G731" s="363"/>
      <c r="H731" s="364"/>
      <c r="I731" s="363"/>
      <c r="J731" s="363"/>
    </row>
    <row r="732" spans="1:10" s="197" customFormat="1" x14ac:dyDescent="0.2">
      <c r="A732" s="360"/>
      <c r="B732" s="361"/>
      <c r="C732" s="361"/>
      <c r="D732" s="361"/>
      <c r="E732" s="361"/>
      <c r="F732" s="361"/>
      <c r="G732" s="363"/>
      <c r="H732" s="364"/>
      <c r="I732" s="363"/>
      <c r="J732" s="363"/>
    </row>
    <row r="733" spans="1:10" s="197" customFormat="1" x14ac:dyDescent="0.2">
      <c r="A733" s="360"/>
      <c r="B733" s="361"/>
      <c r="C733" s="361"/>
      <c r="D733" s="361"/>
      <c r="E733" s="361"/>
      <c r="F733" s="361"/>
      <c r="G733" s="363"/>
      <c r="H733" s="364"/>
      <c r="I733" s="363"/>
      <c r="J733" s="363"/>
    </row>
    <row r="734" spans="1:10" s="197" customFormat="1" x14ac:dyDescent="0.2">
      <c r="A734" s="360"/>
      <c r="B734" s="361"/>
      <c r="C734" s="361"/>
      <c r="D734" s="361"/>
      <c r="E734" s="361"/>
      <c r="F734" s="361"/>
      <c r="G734" s="363"/>
      <c r="H734" s="364"/>
      <c r="I734" s="363"/>
      <c r="J734" s="363"/>
    </row>
    <row r="735" spans="1:10" s="197" customFormat="1" x14ac:dyDescent="0.2">
      <c r="A735" s="360"/>
      <c r="B735" s="361"/>
      <c r="C735" s="361"/>
      <c r="D735" s="361"/>
      <c r="E735" s="361"/>
      <c r="F735" s="361"/>
      <c r="G735" s="363"/>
      <c r="H735" s="364"/>
      <c r="I735" s="363"/>
      <c r="J735" s="363"/>
    </row>
    <row r="736" spans="1:10" s="197" customFormat="1" x14ac:dyDescent="0.2">
      <c r="A736" s="360"/>
      <c r="B736" s="361"/>
      <c r="C736" s="361"/>
      <c r="D736" s="361"/>
      <c r="E736" s="361"/>
      <c r="F736" s="361"/>
      <c r="G736" s="363"/>
      <c r="H736" s="364"/>
      <c r="I736" s="363"/>
      <c r="J736" s="363"/>
    </row>
    <row r="737" spans="1:10" s="197" customFormat="1" x14ac:dyDescent="0.2">
      <c r="A737" s="360"/>
      <c r="B737" s="361"/>
      <c r="C737" s="361"/>
      <c r="D737" s="361"/>
      <c r="E737" s="361"/>
      <c r="F737" s="361"/>
      <c r="G737" s="363"/>
      <c r="H737" s="364"/>
      <c r="I737" s="363"/>
      <c r="J737" s="363"/>
    </row>
    <row r="738" spans="1:10" s="197" customFormat="1" x14ac:dyDescent="0.2">
      <c r="A738" s="360"/>
      <c r="B738" s="361"/>
      <c r="C738" s="361"/>
      <c r="D738" s="361"/>
      <c r="E738" s="361"/>
      <c r="F738" s="361"/>
      <c r="G738" s="363"/>
      <c r="H738" s="364"/>
      <c r="I738" s="363"/>
      <c r="J738" s="363"/>
    </row>
    <row r="739" spans="1:10" s="197" customFormat="1" x14ac:dyDescent="0.2">
      <c r="A739" s="360"/>
      <c r="B739" s="361"/>
      <c r="C739" s="361"/>
      <c r="D739" s="361"/>
      <c r="E739" s="361"/>
      <c r="F739" s="361"/>
      <c r="G739" s="363"/>
      <c r="H739" s="364"/>
      <c r="I739" s="363"/>
      <c r="J739" s="363"/>
    </row>
    <row r="740" spans="1:10" s="197" customFormat="1" x14ac:dyDescent="0.2">
      <c r="A740" s="360"/>
      <c r="B740" s="361"/>
      <c r="C740" s="361"/>
      <c r="D740" s="361"/>
      <c r="E740" s="361"/>
      <c r="F740" s="361"/>
      <c r="G740" s="363"/>
      <c r="H740" s="364"/>
      <c r="I740" s="363"/>
      <c r="J740" s="363"/>
    </row>
    <row r="741" spans="1:10" s="197" customFormat="1" x14ac:dyDescent="0.2">
      <c r="A741" s="360"/>
      <c r="B741" s="361"/>
      <c r="C741" s="361"/>
      <c r="D741" s="361"/>
      <c r="E741" s="361"/>
      <c r="F741" s="361"/>
      <c r="G741" s="363"/>
      <c r="H741" s="364"/>
      <c r="I741" s="363"/>
      <c r="J741" s="363"/>
    </row>
    <row r="742" spans="1:10" s="197" customFormat="1" x14ac:dyDescent="0.2">
      <c r="A742" s="360"/>
      <c r="B742" s="361"/>
      <c r="C742" s="361"/>
      <c r="D742" s="361"/>
      <c r="E742" s="361"/>
      <c r="F742" s="361"/>
      <c r="G742" s="363"/>
      <c r="H742" s="364"/>
      <c r="I742" s="363"/>
      <c r="J742" s="363"/>
    </row>
    <row r="743" spans="1:10" s="197" customFormat="1" x14ac:dyDescent="0.2">
      <c r="A743" s="360"/>
      <c r="B743" s="361"/>
      <c r="C743" s="361"/>
      <c r="D743" s="361"/>
      <c r="E743" s="361"/>
      <c r="F743" s="361"/>
      <c r="G743" s="363"/>
      <c r="H743" s="364"/>
      <c r="I743" s="363"/>
      <c r="J743" s="363"/>
    </row>
    <row r="744" spans="1:10" s="197" customFormat="1" x14ac:dyDescent="0.2">
      <c r="A744" s="360"/>
      <c r="B744" s="361"/>
      <c r="C744" s="361"/>
      <c r="D744" s="361"/>
      <c r="E744" s="361"/>
      <c r="F744" s="361"/>
      <c r="G744" s="363"/>
      <c r="H744" s="364"/>
      <c r="I744" s="363"/>
      <c r="J744" s="363"/>
    </row>
    <row r="745" spans="1:10" s="197" customFormat="1" x14ac:dyDescent="0.2">
      <c r="A745" s="360"/>
      <c r="B745" s="361"/>
      <c r="C745" s="361"/>
      <c r="D745" s="361"/>
      <c r="E745" s="361"/>
      <c r="F745" s="361"/>
      <c r="G745" s="363"/>
      <c r="H745" s="364"/>
      <c r="I745" s="363"/>
      <c r="J745" s="363"/>
    </row>
    <row r="746" spans="1:10" s="197" customFormat="1" x14ac:dyDescent="0.2">
      <c r="A746" s="360"/>
      <c r="B746" s="361"/>
      <c r="C746" s="361"/>
      <c r="D746" s="361"/>
      <c r="E746" s="361"/>
      <c r="F746" s="361"/>
      <c r="G746" s="363"/>
      <c r="H746" s="364"/>
      <c r="I746" s="363"/>
      <c r="J746" s="363"/>
    </row>
    <row r="747" spans="1:10" s="197" customFormat="1" x14ac:dyDescent="0.2">
      <c r="A747" s="360"/>
      <c r="B747" s="361"/>
      <c r="C747" s="361"/>
      <c r="D747" s="361"/>
      <c r="E747" s="361"/>
      <c r="F747" s="361"/>
      <c r="G747" s="363"/>
      <c r="H747" s="364"/>
      <c r="I747" s="363"/>
      <c r="J747" s="363"/>
    </row>
    <row r="748" spans="1:10" s="197" customFormat="1" x14ac:dyDescent="0.2">
      <c r="A748" s="360"/>
      <c r="B748" s="361"/>
      <c r="C748" s="361"/>
      <c r="D748" s="361"/>
      <c r="E748" s="361"/>
      <c r="F748" s="361"/>
      <c r="G748" s="363"/>
      <c r="H748" s="364"/>
      <c r="I748" s="363"/>
      <c r="J748" s="363"/>
    </row>
    <row r="749" spans="1:10" s="197" customFormat="1" x14ac:dyDescent="0.2">
      <c r="A749" s="360"/>
      <c r="B749" s="361"/>
      <c r="C749" s="361"/>
      <c r="D749" s="361"/>
      <c r="E749" s="361"/>
      <c r="F749" s="361"/>
      <c r="G749" s="363"/>
      <c r="H749" s="364"/>
      <c r="I749" s="363"/>
      <c r="J749" s="363"/>
    </row>
    <row r="750" spans="1:10" s="197" customFormat="1" x14ac:dyDescent="0.2">
      <c r="A750" s="360"/>
      <c r="B750" s="361"/>
      <c r="C750" s="361"/>
      <c r="D750" s="361"/>
      <c r="E750" s="361"/>
      <c r="F750" s="361"/>
      <c r="G750" s="363"/>
      <c r="H750" s="364"/>
      <c r="I750" s="363"/>
      <c r="J750" s="363"/>
    </row>
    <row r="751" spans="1:10" s="197" customFormat="1" x14ac:dyDescent="0.2">
      <c r="A751" s="360"/>
      <c r="B751" s="361"/>
      <c r="C751" s="361"/>
      <c r="D751" s="361"/>
      <c r="E751" s="361"/>
      <c r="F751" s="361"/>
      <c r="G751" s="363"/>
      <c r="H751" s="364"/>
      <c r="I751" s="363"/>
      <c r="J751" s="363"/>
    </row>
    <row r="752" spans="1:10" s="197" customFormat="1" x14ac:dyDescent="0.2">
      <c r="A752" s="360"/>
      <c r="B752" s="361"/>
      <c r="C752" s="361"/>
      <c r="D752" s="361"/>
      <c r="E752" s="361"/>
      <c r="F752" s="361"/>
      <c r="G752" s="363"/>
      <c r="H752" s="364"/>
      <c r="I752" s="363"/>
      <c r="J752" s="363"/>
    </row>
    <row r="753" spans="1:10" s="197" customFormat="1" x14ac:dyDescent="0.2">
      <c r="A753" s="360"/>
      <c r="B753" s="361"/>
      <c r="C753" s="361"/>
      <c r="D753" s="361"/>
      <c r="E753" s="361"/>
      <c r="F753" s="361"/>
      <c r="G753" s="363"/>
      <c r="H753" s="364"/>
      <c r="I753" s="363"/>
      <c r="J753" s="363"/>
    </row>
    <row r="754" spans="1:10" s="197" customFormat="1" x14ac:dyDescent="0.2">
      <c r="A754" s="360"/>
      <c r="B754" s="361"/>
      <c r="C754" s="361"/>
      <c r="D754" s="361"/>
      <c r="E754" s="361"/>
      <c r="F754" s="361"/>
      <c r="G754" s="363"/>
      <c r="H754" s="364"/>
      <c r="I754" s="363"/>
      <c r="J754" s="363"/>
    </row>
    <row r="755" spans="1:10" s="197" customFormat="1" x14ac:dyDescent="0.2">
      <c r="A755" s="360"/>
      <c r="B755" s="361"/>
      <c r="C755" s="361"/>
      <c r="D755" s="361"/>
      <c r="E755" s="361"/>
      <c r="F755" s="361"/>
      <c r="G755" s="363"/>
      <c r="H755" s="364"/>
      <c r="I755" s="363"/>
      <c r="J755" s="363"/>
    </row>
    <row r="756" spans="1:10" s="197" customFormat="1" x14ac:dyDescent="0.2">
      <c r="A756" s="360"/>
      <c r="B756" s="361"/>
      <c r="C756" s="361"/>
      <c r="D756" s="361"/>
      <c r="E756" s="361"/>
      <c r="F756" s="361"/>
      <c r="G756" s="363"/>
      <c r="H756" s="364"/>
      <c r="I756" s="363"/>
      <c r="J756" s="363"/>
    </row>
    <row r="757" spans="1:10" s="197" customFormat="1" x14ac:dyDescent="0.2">
      <c r="A757" s="360"/>
      <c r="B757" s="361"/>
      <c r="C757" s="361"/>
      <c r="D757" s="361"/>
      <c r="E757" s="361"/>
      <c r="F757" s="361"/>
      <c r="G757" s="363"/>
      <c r="H757" s="364"/>
      <c r="I757" s="363"/>
      <c r="J757" s="363"/>
    </row>
    <row r="758" spans="1:10" s="197" customFormat="1" x14ac:dyDescent="0.2">
      <c r="A758" s="360"/>
      <c r="B758" s="361"/>
      <c r="C758" s="361"/>
      <c r="D758" s="361"/>
      <c r="E758" s="361"/>
      <c r="F758" s="361"/>
      <c r="G758" s="363"/>
      <c r="H758" s="364"/>
      <c r="I758" s="363"/>
      <c r="J758" s="363"/>
    </row>
    <row r="759" spans="1:10" s="197" customFormat="1" x14ac:dyDescent="0.2">
      <c r="A759" s="360"/>
      <c r="B759" s="361"/>
      <c r="C759" s="361"/>
      <c r="D759" s="361"/>
      <c r="E759" s="361"/>
      <c r="F759" s="361"/>
      <c r="G759" s="363"/>
      <c r="H759" s="364"/>
      <c r="I759" s="363"/>
      <c r="J759" s="363"/>
    </row>
    <row r="760" spans="1:10" s="197" customFormat="1" x14ac:dyDescent="0.2">
      <c r="A760" s="360"/>
      <c r="B760" s="361"/>
      <c r="C760" s="361"/>
      <c r="D760" s="361"/>
      <c r="E760" s="361"/>
      <c r="F760" s="361"/>
      <c r="G760" s="363"/>
      <c r="H760" s="364"/>
      <c r="I760" s="363"/>
      <c r="J760" s="363"/>
    </row>
    <row r="761" spans="1:10" s="197" customFormat="1" x14ac:dyDescent="0.2">
      <c r="A761" s="360"/>
      <c r="B761" s="361"/>
      <c r="C761" s="361"/>
      <c r="D761" s="361"/>
      <c r="E761" s="361"/>
      <c r="F761" s="361"/>
      <c r="G761" s="363"/>
      <c r="H761" s="364"/>
      <c r="I761" s="363"/>
      <c r="J761" s="363"/>
    </row>
    <row r="762" spans="1:10" s="197" customFormat="1" x14ac:dyDescent="0.2">
      <c r="A762" s="360"/>
      <c r="B762" s="361"/>
      <c r="C762" s="361"/>
      <c r="D762" s="361"/>
      <c r="E762" s="361"/>
      <c r="F762" s="361"/>
      <c r="G762" s="363"/>
      <c r="H762" s="364"/>
      <c r="I762" s="363"/>
      <c r="J762" s="363"/>
    </row>
    <row r="763" spans="1:10" s="197" customFormat="1" x14ac:dyDescent="0.2">
      <c r="A763" s="360"/>
      <c r="B763" s="361"/>
      <c r="C763" s="361"/>
      <c r="D763" s="361"/>
      <c r="E763" s="361"/>
      <c r="F763" s="361"/>
      <c r="G763" s="363"/>
      <c r="H763" s="364"/>
      <c r="I763" s="363"/>
      <c r="J763" s="363"/>
    </row>
    <row r="764" spans="1:10" s="197" customFormat="1" x14ac:dyDescent="0.2">
      <c r="A764" s="360"/>
      <c r="B764" s="361"/>
      <c r="C764" s="361"/>
      <c r="D764" s="361"/>
      <c r="E764" s="361"/>
      <c r="F764" s="361"/>
      <c r="G764" s="363"/>
      <c r="H764" s="364"/>
      <c r="I764" s="363"/>
      <c r="J764" s="363"/>
    </row>
    <row r="765" spans="1:10" s="197" customFormat="1" x14ac:dyDescent="0.2">
      <c r="A765" s="360"/>
      <c r="B765" s="361"/>
      <c r="C765" s="361"/>
      <c r="D765" s="361"/>
      <c r="E765" s="361"/>
      <c r="F765" s="361"/>
      <c r="G765" s="363"/>
      <c r="H765" s="364"/>
      <c r="I765" s="363"/>
      <c r="J765" s="363"/>
    </row>
    <row r="766" spans="1:10" s="197" customFormat="1" x14ac:dyDescent="0.2">
      <c r="A766" s="360"/>
      <c r="B766" s="361"/>
      <c r="C766" s="361"/>
      <c r="D766" s="361"/>
      <c r="E766" s="361"/>
      <c r="F766" s="361"/>
      <c r="G766" s="363"/>
      <c r="H766" s="364"/>
      <c r="I766" s="363"/>
      <c r="J766" s="363"/>
    </row>
    <row r="767" spans="1:10" s="197" customFormat="1" x14ac:dyDescent="0.2">
      <c r="A767" s="360"/>
      <c r="B767" s="361"/>
      <c r="C767" s="361"/>
      <c r="D767" s="361"/>
      <c r="E767" s="361"/>
      <c r="F767" s="361"/>
      <c r="G767" s="363"/>
      <c r="H767" s="364"/>
      <c r="I767" s="363"/>
      <c r="J767" s="363"/>
    </row>
    <row r="768" spans="1:10" s="197" customFormat="1" x14ac:dyDescent="0.2">
      <c r="A768" s="360"/>
      <c r="B768" s="361"/>
      <c r="C768" s="361"/>
      <c r="D768" s="361"/>
      <c r="E768" s="361"/>
      <c r="F768" s="361"/>
      <c r="G768" s="363"/>
      <c r="H768" s="364"/>
      <c r="I768" s="363"/>
      <c r="J768" s="363"/>
    </row>
    <row r="769" spans="1:10" s="197" customFormat="1" x14ac:dyDescent="0.2">
      <c r="A769" s="360"/>
      <c r="B769" s="361"/>
      <c r="C769" s="361"/>
      <c r="D769" s="361"/>
      <c r="E769" s="361"/>
      <c r="F769" s="361"/>
      <c r="G769" s="363"/>
      <c r="H769" s="364"/>
      <c r="I769" s="363"/>
      <c r="J769" s="363"/>
    </row>
    <row r="770" spans="1:10" s="197" customFormat="1" x14ac:dyDescent="0.2">
      <c r="A770" s="360"/>
      <c r="B770" s="361"/>
      <c r="C770" s="361"/>
      <c r="D770" s="361"/>
      <c r="E770" s="361"/>
      <c r="F770" s="361"/>
      <c r="G770" s="363"/>
      <c r="H770" s="364"/>
      <c r="I770" s="363"/>
      <c r="J770" s="363"/>
    </row>
    <row r="771" spans="1:10" s="197" customFormat="1" x14ac:dyDescent="0.2">
      <c r="A771" s="360"/>
      <c r="B771" s="361"/>
      <c r="C771" s="361"/>
      <c r="D771" s="361"/>
      <c r="E771" s="361"/>
      <c r="F771" s="361"/>
      <c r="G771" s="363"/>
      <c r="H771" s="364"/>
      <c r="I771" s="363"/>
      <c r="J771" s="363"/>
    </row>
    <row r="772" spans="1:10" s="197" customFormat="1" x14ac:dyDescent="0.2">
      <c r="A772" s="360"/>
      <c r="B772" s="361"/>
      <c r="C772" s="361"/>
      <c r="D772" s="361"/>
      <c r="E772" s="361"/>
      <c r="F772" s="361"/>
      <c r="G772" s="363"/>
      <c r="H772" s="364"/>
      <c r="I772" s="363"/>
      <c r="J772" s="363"/>
    </row>
    <row r="773" spans="1:10" s="197" customFormat="1" x14ac:dyDescent="0.2">
      <c r="A773" s="360"/>
      <c r="B773" s="361"/>
      <c r="C773" s="361"/>
      <c r="D773" s="361"/>
      <c r="E773" s="361"/>
      <c r="F773" s="361"/>
      <c r="G773" s="363"/>
      <c r="H773" s="364"/>
      <c r="I773" s="363"/>
      <c r="J773" s="363"/>
    </row>
    <row r="774" spans="1:10" s="197" customFormat="1" x14ac:dyDescent="0.2">
      <c r="A774" s="360"/>
      <c r="B774" s="361"/>
      <c r="C774" s="361"/>
      <c r="D774" s="361"/>
      <c r="E774" s="361"/>
      <c r="F774" s="361"/>
      <c r="G774" s="363"/>
      <c r="H774" s="364"/>
      <c r="I774" s="363"/>
      <c r="J774" s="363"/>
    </row>
    <row r="775" spans="1:10" s="197" customFormat="1" x14ac:dyDescent="0.2">
      <c r="A775" s="360"/>
      <c r="B775" s="361"/>
      <c r="C775" s="361"/>
      <c r="D775" s="361"/>
      <c r="E775" s="361"/>
      <c r="F775" s="361"/>
      <c r="G775" s="363"/>
      <c r="H775" s="364"/>
      <c r="I775" s="363"/>
      <c r="J775" s="363"/>
    </row>
    <row r="776" spans="1:10" s="197" customFormat="1" x14ac:dyDescent="0.2">
      <c r="A776" s="360"/>
      <c r="B776" s="361"/>
      <c r="C776" s="361"/>
      <c r="D776" s="361"/>
      <c r="E776" s="361"/>
      <c r="F776" s="361"/>
      <c r="G776" s="363"/>
      <c r="H776" s="364"/>
      <c r="I776" s="363"/>
      <c r="J776" s="363"/>
    </row>
    <row r="777" spans="1:10" s="197" customFormat="1" x14ac:dyDescent="0.2">
      <c r="A777" s="360"/>
      <c r="B777" s="361"/>
      <c r="C777" s="361"/>
      <c r="D777" s="361"/>
      <c r="E777" s="361"/>
      <c r="F777" s="361"/>
      <c r="G777" s="363"/>
      <c r="H777" s="364"/>
      <c r="I777" s="363"/>
      <c r="J777" s="363"/>
    </row>
    <row r="778" spans="1:10" s="197" customFormat="1" x14ac:dyDescent="0.2">
      <c r="A778" s="360"/>
      <c r="B778" s="361"/>
      <c r="C778" s="361"/>
      <c r="D778" s="361"/>
      <c r="E778" s="361"/>
      <c r="F778" s="361"/>
      <c r="G778" s="363"/>
      <c r="H778" s="364"/>
      <c r="I778" s="363"/>
      <c r="J778" s="363"/>
    </row>
    <row r="779" spans="1:10" s="197" customFormat="1" x14ac:dyDescent="0.2">
      <c r="A779" s="360"/>
      <c r="B779" s="361"/>
      <c r="C779" s="361"/>
      <c r="D779" s="361"/>
      <c r="E779" s="361"/>
      <c r="F779" s="361"/>
      <c r="G779" s="363"/>
      <c r="H779" s="364"/>
      <c r="I779" s="363"/>
      <c r="J779" s="363"/>
    </row>
    <row r="780" spans="1:10" s="197" customFormat="1" x14ac:dyDescent="0.2">
      <c r="A780" s="360"/>
      <c r="B780" s="361"/>
      <c r="C780" s="361"/>
      <c r="D780" s="361"/>
      <c r="E780" s="361"/>
      <c r="F780" s="361"/>
      <c r="G780" s="363"/>
      <c r="H780" s="364"/>
      <c r="I780" s="363"/>
      <c r="J780" s="363"/>
    </row>
    <row r="781" spans="1:10" s="197" customFormat="1" x14ac:dyDescent="0.2">
      <c r="A781" s="360"/>
      <c r="B781" s="361"/>
      <c r="C781" s="361"/>
      <c r="D781" s="361"/>
      <c r="E781" s="361"/>
      <c r="F781" s="361"/>
      <c r="G781" s="363"/>
      <c r="H781" s="364"/>
      <c r="I781" s="363"/>
      <c r="J781" s="363"/>
    </row>
    <row r="782" spans="1:10" s="197" customFormat="1" x14ac:dyDescent="0.2">
      <c r="A782" s="360"/>
      <c r="B782" s="361"/>
      <c r="C782" s="361"/>
      <c r="D782" s="361"/>
      <c r="E782" s="361"/>
      <c r="F782" s="361"/>
      <c r="G782" s="363"/>
      <c r="H782" s="364"/>
      <c r="I782" s="363"/>
      <c r="J782" s="363"/>
    </row>
    <row r="783" spans="1:10" s="197" customFormat="1" x14ac:dyDescent="0.2">
      <c r="A783" s="360"/>
      <c r="B783" s="361"/>
      <c r="C783" s="361"/>
      <c r="D783" s="361"/>
      <c r="E783" s="361"/>
      <c r="F783" s="361"/>
      <c r="G783" s="363"/>
      <c r="H783" s="364"/>
      <c r="I783" s="363"/>
      <c r="J783" s="363"/>
    </row>
    <row r="784" spans="1:10" s="197" customFormat="1" x14ac:dyDescent="0.2">
      <c r="A784" s="360"/>
      <c r="B784" s="361"/>
      <c r="C784" s="361"/>
      <c r="D784" s="361"/>
      <c r="E784" s="361"/>
      <c r="F784" s="361"/>
      <c r="G784" s="363"/>
      <c r="H784" s="364"/>
      <c r="I784" s="363"/>
      <c r="J784" s="363"/>
    </row>
    <row r="785" spans="1:10" s="197" customFormat="1" x14ac:dyDescent="0.2">
      <c r="A785" s="360"/>
      <c r="B785" s="361"/>
      <c r="C785" s="361"/>
      <c r="D785" s="361"/>
      <c r="E785" s="361"/>
      <c r="F785" s="361"/>
      <c r="G785" s="363"/>
      <c r="H785" s="364"/>
      <c r="I785" s="363"/>
      <c r="J785" s="363"/>
    </row>
    <row r="786" spans="1:10" s="197" customFormat="1" x14ac:dyDescent="0.2">
      <c r="A786" s="360"/>
      <c r="B786" s="361"/>
      <c r="C786" s="361"/>
      <c r="D786" s="361"/>
      <c r="E786" s="361"/>
      <c r="F786" s="361"/>
      <c r="G786" s="363"/>
      <c r="H786" s="364"/>
      <c r="I786" s="363"/>
      <c r="J786" s="363"/>
    </row>
    <row r="787" spans="1:10" s="197" customFormat="1" x14ac:dyDescent="0.2">
      <c r="A787" s="360"/>
      <c r="B787" s="361"/>
      <c r="C787" s="361"/>
      <c r="D787" s="361"/>
      <c r="E787" s="361"/>
      <c r="F787" s="361"/>
      <c r="G787" s="363"/>
      <c r="H787" s="364"/>
      <c r="I787" s="363"/>
      <c r="J787" s="363"/>
    </row>
    <row r="788" spans="1:10" s="197" customFormat="1" x14ac:dyDescent="0.2">
      <c r="A788" s="360"/>
      <c r="B788" s="361"/>
      <c r="C788" s="361"/>
      <c r="D788" s="361"/>
      <c r="E788" s="361"/>
      <c r="F788" s="361"/>
      <c r="G788" s="363"/>
      <c r="H788" s="364"/>
      <c r="I788" s="363"/>
      <c r="J788" s="363"/>
    </row>
    <row r="789" spans="1:10" s="197" customFormat="1" x14ac:dyDescent="0.2">
      <c r="A789" s="360"/>
      <c r="B789" s="361"/>
      <c r="C789" s="361"/>
      <c r="D789" s="361"/>
      <c r="E789" s="361"/>
      <c r="F789" s="361"/>
      <c r="G789" s="363"/>
      <c r="H789" s="364"/>
      <c r="I789" s="363"/>
      <c r="J789" s="363"/>
    </row>
    <row r="790" spans="1:10" s="197" customFormat="1" x14ac:dyDescent="0.2">
      <c r="A790" s="360"/>
      <c r="B790" s="361"/>
      <c r="C790" s="361"/>
      <c r="D790" s="361"/>
      <c r="E790" s="361"/>
      <c r="F790" s="361"/>
      <c r="G790" s="363"/>
      <c r="H790" s="364"/>
      <c r="I790" s="363"/>
      <c r="J790" s="363"/>
    </row>
    <row r="791" spans="1:10" s="197" customFormat="1" x14ac:dyDescent="0.2">
      <c r="A791" s="360"/>
      <c r="B791" s="361"/>
      <c r="C791" s="361"/>
      <c r="D791" s="361"/>
      <c r="E791" s="361"/>
      <c r="F791" s="361"/>
      <c r="G791" s="363"/>
      <c r="H791" s="364"/>
      <c r="I791" s="363"/>
      <c r="J791" s="363"/>
    </row>
    <row r="792" spans="1:10" s="197" customFormat="1" x14ac:dyDescent="0.2">
      <c r="A792" s="360"/>
      <c r="B792" s="361"/>
      <c r="C792" s="361"/>
      <c r="D792" s="361"/>
      <c r="E792" s="361"/>
      <c r="F792" s="361"/>
      <c r="G792" s="363"/>
      <c r="H792" s="364"/>
      <c r="I792" s="363"/>
      <c r="J792" s="363"/>
    </row>
    <row r="793" spans="1:10" s="197" customFormat="1" x14ac:dyDescent="0.2">
      <c r="A793" s="360"/>
      <c r="B793" s="361"/>
      <c r="C793" s="361"/>
      <c r="D793" s="361"/>
      <c r="E793" s="361"/>
      <c r="F793" s="361"/>
      <c r="G793" s="363"/>
      <c r="H793" s="364"/>
      <c r="I793" s="363"/>
      <c r="J793" s="363"/>
    </row>
    <row r="794" spans="1:10" s="197" customFormat="1" x14ac:dyDescent="0.2">
      <c r="A794" s="360"/>
      <c r="B794" s="361"/>
      <c r="C794" s="361"/>
      <c r="D794" s="361"/>
      <c r="E794" s="361"/>
      <c r="F794" s="361"/>
      <c r="G794" s="363"/>
      <c r="H794" s="364"/>
      <c r="I794" s="363"/>
      <c r="J794" s="363"/>
    </row>
    <row r="795" spans="1:10" s="197" customFormat="1" x14ac:dyDescent="0.2">
      <c r="A795" s="360"/>
      <c r="B795" s="361"/>
      <c r="C795" s="361"/>
      <c r="D795" s="361"/>
      <c r="E795" s="361"/>
      <c r="F795" s="361"/>
      <c r="G795" s="363"/>
      <c r="H795" s="364"/>
      <c r="I795" s="363"/>
      <c r="J795" s="363"/>
    </row>
    <row r="796" spans="1:10" s="197" customFormat="1" x14ac:dyDescent="0.2">
      <c r="A796" s="360"/>
      <c r="B796" s="361"/>
      <c r="C796" s="361"/>
      <c r="D796" s="361"/>
      <c r="E796" s="361"/>
      <c r="F796" s="361"/>
      <c r="G796" s="363"/>
      <c r="H796" s="364"/>
      <c r="I796" s="363"/>
      <c r="J796" s="363"/>
    </row>
    <row r="797" spans="1:10" s="197" customFormat="1" x14ac:dyDescent="0.2">
      <c r="A797" s="360"/>
      <c r="B797" s="361"/>
      <c r="C797" s="361"/>
      <c r="D797" s="361"/>
      <c r="E797" s="361"/>
      <c r="F797" s="361"/>
      <c r="G797" s="363"/>
      <c r="H797" s="364"/>
      <c r="I797" s="363"/>
      <c r="J797" s="363"/>
    </row>
    <row r="798" spans="1:10" s="197" customFormat="1" x14ac:dyDescent="0.2">
      <c r="A798" s="360"/>
      <c r="B798" s="361"/>
      <c r="C798" s="361"/>
      <c r="D798" s="361"/>
      <c r="E798" s="361"/>
      <c r="F798" s="361"/>
      <c r="G798" s="363"/>
      <c r="H798" s="364"/>
      <c r="I798" s="363"/>
      <c r="J798" s="363"/>
    </row>
    <row r="799" spans="1:10" s="197" customFormat="1" x14ac:dyDescent="0.2">
      <c r="A799" s="360"/>
      <c r="B799" s="361"/>
      <c r="C799" s="361"/>
      <c r="D799" s="361"/>
      <c r="E799" s="361"/>
      <c r="F799" s="361"/>
      <c r="G799" s="363"/>
      <c r="H799" s="364"/>
      <c r="I799" s="363"/>
      <c r="J799" s="363"/>
    </row>
    <row r="800" spans="1:10" s="197" customFormat="1" x14ac:dyDescent="0.2">
      <c r="A800" s="360"/>
      <c r="B800" s="361"/>
      <c r="C800" s="361"/>
      <c r="D800" s="361"/>
      <c r="E800" s="361"/>
      <c r="F800" s="361"/>
      <c r="G800" s="363"/>
      <c r="H800" s="364"/>
      <c r="I800" s="363"/>
      <c r="J800" s="363"/>
    </row>
    <row r="801" spans="1:10" s="197" customFormat="1" x14ac:dyDescent="0.2">
      <c r="A801" s="360"/>
      <c r="B801" s="361"/>
      <c r="C801" s="361"/>
      <c r="D801" s="361"/>
      <c r="E801" s="361"/>
      <c r="F801" s="361"/>
      <c r="G801" s="363"/>
      <c r="H801" s="364"/>
      <c r="I801" s="363"/>
      <c r="J801" s="363"/>
    </row>
    <row r="802" spans="1:10" s="197" customFormat="1" x14ac:dyDescent="0.2">
      <c r="A802" s="360"/>
      <c r="B802" s="361"/>
      <c r="C802" s="361"/>
      <c r="D802" s="361"/>
      <c r="E802" s="361"/>
      <c r="F802" s="361"/>
      <c r="G802" s="363"/>
      <c r="H802" s="364"/>
      <c r="I802" s="363"/>
      <c r="J802" s="363"/>
    </row>
    <row r="803" spans="1:10" s="197" customFormat="1" x14ac:dyDescent="0.2">
      <c r="A803" s="360"/>
      <c r="B803" s="361"/>
      <c r="C803" s="361"/>
      <c r="D803" s="361"/>
      <c r="E803" s="361"/>
      <c r="F803" s="361"/>
      <c r="G803" s="363"/>
      <c r="H803" s="364"/>
      <c r="I803" s="363"/>
      <c r="J803" s="363"/>
    </row>
    <row r="804" spans="1:10" s="197" customFormat="1" x14ac:dyDescent="0.2">
      <c r="A804" s="360"/>
      <c r="B804" s="361"/>
      <c r="C804" s="361"/>
      <c r="D804" s="361"/>
      <c r="E804" s="361"/>
      <c r="F804" s="361"/>
      <c r="G804" s="363"/>
      <c r="H804" s="364"/>
      <c r="I804" s="363"/>
      <c r="J804" s="363"/>
    </row>
    <row r="805" spans="1:10" s="197" customFormat="1" x14ac:dyDescent="0.2">
      <c r="A805" s="360"/>
      <c r="B805" s="361"/>
      <c r="C805" s="361"/>
      <c r="D805" s="361"/>
      <c r="E805" s="361"/>
      <c r="F805" s="361"/>
      <c r="G805" s="363"/>
      <c r="H805" s="364"/>
      <c r="I805" s="363"/>
      <c r="J805" s="363"/>
    </row>
    <row r="806" spans="1:10" s="197" customFormat="1" x14ac:dyDescent="0.2">
      <c r="A806" s="360"/>
      <c r="B806" s="361"/>
      <c r="C806" s="361"/>
      <c r="D806" s="361"/>
      <c r="E806" s="361"/>
      <c r="F806" s="361"/>
      <c r="G806" s="363"/>
      <c r="H806" s="364"/>
      <c r="I806" s="363"/>
      <c r="J806" s="363"/>
    </row>
    <row r="807" spans="1:10" s="197" customFormat="1" x14ac:dyDescent="0.2">
      <c r="A807" s="360"/>
      <c r="B807" s="361"/>
      <c r="C807" s="361"/>
      <c r="D807" s="361"/>
      <c r="E807" s="361"/>
      <c r="F807" s="361"/>
      <c r="G807" s="363"/>
      <c r="H807" s="364"/>
      <c r="I807" s="363"/>
      <c r="J807" s="363"/>
    </row>
    <row r="808" spans="1:10" s="197" customFormat="1" x14ac:dyDescent="0.2">
      <c r="A808" s="360"/>
      <c r="B808" s="361"/>
      <c r="C808" s="361"/>
      <c r="D808" s="361"/>
      <c r="E808" s="361"/>
      <c r="F808" s="361"/>
      <c r="G808" s="363"/>
      <c r="H808" s="364"/>
      <c r="I808" s="363"/>
      <c r="J808" s="363"/>
    </row>
    <row r="809" spans="1:10" s="197" customFormat="1" x14ac:dyDescent="0.2">
      <c r="A809" s="360"/>
      <c r="B809" s="361"/>
      <c r="C809" s="361"/>
      <c r="D809" s="361"/>
      <c r="E809" s="361"/>
      <c r="F809" s="361"/>
      <c r="G809" s="363"/>
      <c r="H809" s="364"/>
      <c r="I809" s="363"/>
      <c r="J809" s="363"/>
    </row>
    <row r="810" spans="1:10" s="197" customFormat="1" x14ac:dyDescent="0.2">
      <c r="A810" s="360"/>
      <c r="B810" s="361"/>
      <c r="C810" s="361"/>
      <c r="D810" s="361"/>
      <c r="E810" s="361"/>
      <c r="F810" s="361"/>
      <c r="G810" s="363"/>
      <c r="H810" s="364"/>
      <c r="I810" s="363"/>
      <c r="J810" s="363"/>
    </row>
    <row r="811" spans="1:10" s="197" customFormat="1" x14ac:dyDescent="0.2">
      <c r="A811" s="360"/>
      <c r="B811" s="361"/>
      <c r="C811" s="361"/>
      <c r="D811" s="361"/>
      <c r="E811" s="361"/>
      <c r="F811" s="361"/>
      <c r="G811" s="363"/>
      <c r="H811" s="364"/>
      <c r="I811" s="363"/>
      <c r="J811" s="363"/>
    </row>
    <row r="812" spans="1:10" s="197" customFormat="1" x14ac:dyDescent="0.2">
      <c r="A812" s="360"/>
      <c r="B812" s="361"/>
      <c r="C812" s="361"/>
      <c r="D812" s="361"/>
      <c r="E812" s="361"/>
      <c r="F812" s="361"/>
      <c r="G812" s="363"/>
      <c r="H812" s="364"/>
      <c r="I812" s="363"/>
      <c r="J812" s="363"/>
    </row>
    <row r="813" spans="1:10" s="197" customFormat="1" x14ac:dyDescent="0.2">
      <c r="A813" s="360"/>
      <c r="B813" s="361"/>
      <c r="C813" s="361"/>
      <c r="D813" s="361"/>
      <c r="E813" s="361"/>
      <c r="F813" s="361"/>
      <c r="G813" s="363"/>
      <c r="H813" s="364"/>
      <c r="I813" s="363"/>
      <c r="J813" s="363"/>
    </row>
    <row r="814" spans="1:10" s="197" customFormat="1" x14ac:dyDescent="0.2">
      <c r="A814" s="360"/>
      <c r="B814" s="361"/>
      <c r="C814" s="361"/>
      <c r="D814" s="361"/>
      <c r="E814" s="361"/>
      <c r="F814" s="361"/>
      <c r="G814" s="363"/>
      <c r="H814" s="364"/>
      <c r="I814" s="363"/>
      <c r="J814" s="363"/>
    </row>
    <row r="815" spans="1:10" s="197" customFormat="1" x14ac:dyDescent="0.2">
      <c r="A815" s="360"/>
      <c r="B815" s="361"/>
      <c r="C815" s="361"/>
      <c r="D815" s="361"/>
      <c r="E815" s="361"/>
      <c r="F815" s="361"/>
      <c r="G815" s="363"/>
      <c r="H815" s="364"/>
      <c r="I815" s="363"/>
      <c r="J815" s="363"/>
    </row>
    <row r="816" spans="1:10" s="197" customFormat="1" x14ac:dyDescent="0.2">
      <c r="A816" s="360"/>
      <c r="B816" s="361"/>
      <c r="C816" s="361"/>
      <c r="D816" s="361"/>
      <c r="E816" s="361"/>
      <c r="F816" s="361"/>
      <c r="G816" s="363"/>
      <c r="H816" s="364"/>
      <c r="I816" s="363"/>
      <c r="J816" s="363"/>
    </row>
    <row r="817" spans="1:10" s="197" customFormat="1" x14ac:dyDescent="0.2">
      <c r="A817" s="360"/>
      <c r="B817" s="361"/>
      <c r="C817" s="361"/>
      <c r="D817" s="361"/>
      <c r="E817" s="361"/>
      <c r="F817" s="361"/>
      <c r="G817" s="363"/>
      <c r="H817" s="364"/>
      <c r="I817" s="363"/>
      <c r="J817" s="363"/>
    </row>
    <row r="818" spans="1:10" s="197" customFormat="1" x14ac:dyDescent="0.2">
      <c r="A818" s="360"/>
      <c r="B818" s="361"/>
      <c r="C818" s="361"/>
      <c r="D818" s="361"/>
      <c r="E818" s="361"/>
      <c r="F818" s="361"/>
      <c r="G818" s="363"/>
      <c r="H818" s="364"/>
      <c r="I818" s="363"/>
      <c r="J818" s="363"/>
    </row>
    <row r="819" spans="1:10" s="197" customFormat="1" x14ac:dyDescent="0.2">
      <c r="A819" s="360"/>
      <c r="B819" s="361"/>
      <c r="C819" s="361"/>
      <c r="D819" s="361"/>
      <c r="E819" s="361"/>
      <c r="F819" s="361"/>
      <c r="G819" s="363"/>
      <c r="H819" s="364"/>
      <c r="I819" s="363"/>
      <c r="J819" s="363"/>
    </row>
    <row r="820" spans="1:10" s="197" customFormat="1" x14ac:dyDescent="0.2">
      <c r="A820" s="360"/>
      <c r="B820" s="361"/>
      <c r="C820" s="361"/>
      <c r="D820" s="361"/>
      <c r="E820" s="361"/>
      <c r="F820" s="361"/>
      <c r="G820" s="363"/>
      <c r="H820" s="364"/>
      <c r="I820" s="363"/>
      <c r="J820" s="363"/>
    </row>
    <row r="821" spans="1:10" s="197" customFormat="1" x14ac:dyDescent="0.2">
      <c r="A821" s="360"/>
      <c r="B821" s="361"/>
      <c r="C821" s="361"/>
      <c r="D821" s="361"/>
      <c r="E821" s="361"/>
      <c r="F821" s="361"/>
      <c r="G821" s="363"/>
      <c r="H821" s="364"/>
      <c r="I821" s="363"/>
      <c r="J821" s="363"/>
    </row>
    <row r="822" spans="1:10" s="197" customFormat="1" x14ac:dyDescent="0.2">
      <c r="A822" s="360"/>
      <c r="B822" s="361"/>
      <c r="C822" s="361"/>
      <c r="D822" s="361"/>
      <c r="E822" s="361"/>
      <c r="F822" s="361"/>
      <c r="G822" s="363"/>
      <c r="H822" s="364"/>
      <c r="I822" s="363"/>
      <c r="J822" s="363"/>
    </row>
    <row r="823" spans="1:10" s="197" customFormat="1" x14ac:dyDescent="0.2">
      <c r="A823" s="360"/>
      <c r="B823" s="361"/>
      <c r="C823" s="361"/>
      <c r="D823" s="361"/>
      <c r="E823" s="361"/>
      <c r="F823" s="361"/>
      <c r="G823" s="363"/>
      <c r="H823" s="364"/>
      <c r="I823" s="363"/>
      <c r="J823" s="363"/>
    </row>
    <row r="824" spans="1:10" s="197" customFormat="1" x14ac:dyDescent="0.2">
      <c r="A824" s="360"/>
      <c r="B824" s="361"/>
      <c r="C824" s="361"/>
      <c r="D824" s="361"/>
      <c r="E824" s="361"/>
      <c r="F824" s="361"/>
      <c r="G824" s="363"/>
      <c r="H824" s="364"/>
      <c r="I824" s="363"/>
      <c r="J824" s="363"/>
    </row>
    <row r="825" spans="1:10" s="197" customFormat="1" x14ac:dyDescent="0.2">
      <c r="A825" s="360"/>
      <c r="B825" s="361"/>
      <c r="C825" s="361"/>
      <c r="D825" s="361"/>
      <c r="E825" s="361"/>
      <c r="F825" s="361"/>
      <c r="G825" s="363"/>
      <c r="H825" s="364"/>
      <c r="I825" s="363"/>
      <c r="J825" s="363"/>
    </row>
    <row r="826" spans="1:10" s="197" customFormat="1" x14ac:dyDescent="0.2">
      <c r="A826" s="360"/>
      <c r="B826" s="361"/>
      <c r="C826" s="361"/>
      <c r="D826" s="361"/>
      <c r="E826" s="361"/>
      <c r="F826" s="361"/>
      <c r="G826" s="363"/>
      <c r="H826" s="364"/>
      <c r="I826" s="363"/>
      <c r="J826" s="363"/>
    </row>
    <row r="827" spans="1:10" s="197" customFormat="1" x14ac:dyDescent="0.2">
      <c r="A827" s="360"/>
      <c r="B827" s="361"/>
      <c r="C827" s="361"/>
      <c r="D827" s="361"/>
      <c r="E827" s="361"/>
      <c r="F827" s="361"/>
      <c r="G827" s="363"/>
      <c r="H827" s="364"/>
      <c r="I827" s="363"/>
      <c r="J827" s="363"/>
    </row>
    <row r="828" spans="1:10" s="197" customFormat="1" x14ac:dyDescent="0.2">
      <c r="A828" s="360"/>
      <c r="B828" s="361"/>
      <c r="C828" s="361"/>
      <c r="D828" s="361"/>
      <c r="E828" s="361"/>
      <c r="F828" s="361"/>
      <c r="G828" s="363"/>
      <c r="H828" s="364"/>
      <c r="I828" s="363"/>
      <c r="J828" s="363"/>
    </row>
    <row r="829" spans="1:10" s="197" customFormat="1" x14ac:dyDescent="0.2">
      <c r="A829" s="360"/>
      <c r="B829" s="361"/>
      <c r="C829" s="361"/>
      <c r="D829" s="361"/>
      <c r="E829" s="361"/>
      <c r="F829" s="361"/>
      <c r="G829" s="363"/>
      <c r="H829" s="364"/>
      <c r="I829" s="363"/>
      <c r="J829" s="363"/>
    </row>
    <row r="830" spans="1:10" s="197" customFormat="1" x14ac:dyDescent="0.2">
      <c r="A830" s="360"/>
      <c r="B830" s="361"/>
      <c r="C830" s="361"/>
      <c r="D830" s="361"/>
      <c r="E830" s="361"/>
      <c r="F830" s="361"/>
      <c r="G830" s="363"/>
      <c r="H830" s="364"/>
      <c r="I830" s="363"/>
      <c r="J830" s="363"/>
    </row>
    <row r="831" spans="1:10" s="197" customFormat="1" x14ac:dyDescent="0.2">
      <c r="A831" s="360"/>
      <c r="B831" s="361"/>
      <c r="C831" s="361"/>
      <c r="D831" s="361"/>
      <c r="E831" s="361"/>
      <c r="F831" s="361"/>
      <c r="G831" s="363"/>
      <c r="H831" s="364"/>
      <c r="I831" s="363"/>
      <c r="J831" s="363"/>
    </row>
    <row r="832" spans="1:10" s="197" customFormat="1" x14ac:dyDescent="0.2">
      <c r="A832" s="360"/>
      <c r="B832" s="361"/>
      <c r="C832" s="361"/>
      <c r="D832" s="361"/>
      <c r="E832" s="361"/>
      <c r="F832" s="361"/>
      <c r="G832" s="363"/>
      <c r="H832" s="364"/>
      <c r="I832" s="363"/>
      <c r="J832" s="363"/>
    </row>
    <row r="833" spans="1:10" s="197" customFormat="1" x14ac:dyDescent="0.2">
      <c r="A833" s="360"/>
      <c r="B833" s="361"/>
      <c r="C833" s="361"/>
      <c r="D833" s="361"/>
      <c r="E833" s="361"/>
      <c r="F833" s="361"/>
      <c r="G833" s="363"/>
      <c r="H833" s="364"/>
      <c r="I833" s="363"/>
      <c r="J833" s="363"/>
    </row>
    <row r="834" spans="1:10" s="197" customFormat="1" x14ac:dyDescent="0.2">
      <c r="A834" s="360"/>
      <c r="B834" s="361"/>
      <c r="C834" s="361"/>
      <c r="D834" s="361"/>
      <c r="E834" s="361"/>
      <c r="F834" s="361"/>
      <c r="G834" s="363"/>
      <c r="H834" s="364"/>
      <c r="I834" s="363"/>
      <c r="J834" s="363"/>
    </row>
    <row r="835" spans="1:10" s="197" customFormat="1" x14ac:dyDescent="0.2">
      <c r="A835" s="360"/>
      <c r="B835" s="361"/>
      <c r="C835" s="361"/>
      <c r="D835" s="361"/>
      <c r="E835" s="361"/>
      <c r="F835" s="361"/>
      <c r="G835" s="363"/>
      <c r="H835" s="364"/>
      <c r="I835" s="363"/>
      <c r="J835" s="363"/>
    </row>
    <row r="836" spans="1:10" s="197" customFormat="1" x14ac:dyDescent="0.2">
      <c r="A836" s="360"/>
      <c r="B836" s="361"/>
      <c r="C836" s="361"/>
      <c r="D836" s="361"/>
      <c r="E836" s="361"/>
      <c r="F836" s="361"/>
      <c r="G836" s="363"/>
      <c r="H836" s="364"/>
      <c r="I836" s="363"/>
      <c r="J836" s="363"/>
    </row>
    <row r="837" spans="1:10" s="197" customFormat="1" x14ac:dyDescent="0.2">
      <c r="A837" s="360"/>
      <c r="B837" s="361"/>
      <c r="C837" s="361"/>
      <c r="D837" s="361"/>
      <c r="E837" s="361"/>
      <c r="F837" s="361"/>
      <c r="G837" s="363"/>
      <c r="H837" s="364"/>
      <c r="I837" s="363"/>
      <c r="J837" s="363"/>
    </row>
    <row r="838" spans="1:10" s="197" customFormat="1" x14ac:dyDescent="0.2">
      <c r="A838" s="360"/>
      <c r="B838" s="361"/>
      <c r="C838" s="361"/>
      <c r="D838" s="361"/>
      <c r="E838" s="361"/>
      <c r="F838" s="361"/>
      <c r="G838" s="363"/>
      <c r="H838" s="364"/>
      <c r="I838" s="363"/>
      <c r="J838" s="363"/>
    </row>
    <row r="839" spans="1:10" s="197" customFormat="1" x14ac:dyDescent="0.2">
      <c r="A839" s="360"/>
      <c r="B839" s="361"/>
      <c r="C839" s="361"/>
      <c r="D839" s="361"/>
      <c r="E839" s="361"/>
      <c r="F839" s="361"/>
      <c r="G839" s="363"/>
      <c r="H839" s="364"/>
      <c r="I839" s="363"/>
      <c r="J839" s="363"/>
    </row>
    <row r="840" spans="1:10" s="197" customFormat="1" x14ac:dyDescent="0.2">
      <c r="A840" s="360"/>
      <c r="B840" s="361"/>
      <c r="C840" s="361"/>
      <c r="D840" s="361"/>
      <c r="E840" s="361"/>
      <c r="F840" s="361"/>
      <c r="G840" s="363"/>
      <c r="H840" s="364"/>
      <c r="I840" s="363"/>
      <c r="J840" s="363"/>
    </row>
    <row r="841" spans="1:10" s="197" customFormat="1" x14ac:dyDescent="0.2">
      <c r="A841" s="360"/>
      <c r="B841" s="361"/>
      <c r="C841" s="361"/>
      <c r="D841" s="361"/>
      <c r="E841" s="361"/>
      <c r="F841" s="361"/>
      <c r="G841" s="363"/>
      <c r="H841" s="364"/>
      <c r="I841" s="363"/>
      <c r="J841" s="363"/>
    </row>
    <row r="842" spans="1:10" s="197" customFormat="1" x14ac:dyDescent="0.2">
      <c r="A842" s="360"/>
      <c r="B842" s="361"/>
      <c r="C842" s="361"/>
      <c r="D842" s="361"/>
      <c r="E842" s="361"/>
      <c r="F842" s="361"/>
      <c r="G842" s="363"/>
      <c r="H842" s="364"/>
      <c r="I842" s="363"/>
      <c r="J842" s="363"/>
    </row>
    <row r="843" spans="1:10" s="197" customFormat="1" x14ac:dyDescent="0.2">
      <c r="A843" s="360"/>
      <c r="B843" s="361"/>
      <c r="C843" s="361"/>
      <c r="D843" s="361"/>
      <c r="E843" s="361"/>
      <c r="F843" s="361"/>
      <c r="G843" s="363"/>
      <c r="H843" s="364"/>
      <c r="I843" s="363"/>
      <c r="J843" s="363"/>
    </row>
    <row r="844" spans="1:10" s="197" customFormat="1" x14ac:dyDescent="0.2">
      <c r="A844" s="360"/>
      <c r="B844" s="361"/>
      <c r="C844" s="361"/>
      <c r="D844" s="361"/>
      <c r="E844" s="361"/>
      <c r="F844" s="361"/>
      <c r="G844" s="363"/>
      <c r="H844" s="364"/>
      <c r="I844" s="363"/>
      <c r="J844" s="363"/>
    </row>
    <row r="845" spans="1:10" s="197" customFormat="1" x14ac:dyDescent="0.2">
      <c r="A845" s="360"/>
      <c r="B845" s="361"/>
      <c r="C845" s="361"/>
      <c r="D845" s="361"/>
      <c r="E845" s="361"/>
      <c r="F845" s="361"/>
      <c r="G845" s="363"/>
      <c r="H845" s="364"/>
      <c r="I845" s="363"/>
      <c r="J845" s="363"/>
    </row>
    <row r="846" spans="1:10" s="197" customFormat="1" x14ac:dyDescent="0.2">
      <c r="A846" s="360"/>
      <c r="B846" s="361"/>
      <c r="C846" s="361"/>
      <c r="D846" s="361"/>
      <c r="E846" s="361"/>
      <c r="F846" s="361"/>
      <c r="G846" s="363"/>
      <c r="H846" s="364"/>
      <c r="I846" s="363"/>
      <c r="J846" s="363"/>
    </row>
    <row r="847" spans="1:10" s="197" customFormat="1" x14ac:dyDescent="0.2">
      <c r="A847" s="360"/>
      <c r="B847" s="361"/>
      <c r="C847" s="361"/>
      <c r="D847" s="361"/>
      <c r="E847" s="361"/>
      <c r="F847" s="361"/>
      <c r="G847" s="363"/>
      <c r="H847" s="364"/>
      <c r="I847" s="363"/>
      <c r="J847" s="363"/>
    </row>
    <row r="848" spans="1:10" s="197" customFormat="1" x14ac:dyDescent="0.2">
      <c r="A848" s="360"/>
      <c r="B848" s="361"/>
      <c r="C848" s="361"/>
      <c r="D848" s="361"/>
      <c r="E848" s="361"/>
      <c r="F848" s="361"/>
      <c r="G848" s="363"/>
      <c r="H848" s="364"/>
      <c r="I848" s="363"/>
      <c r="J848" s="363"/>
    </row>
    <row r="849" spans="1:10" s="197" customFormat="1" x14ac:dyDescent="0.2">
      <c r="A849" s="360"/>
      <c r="B849" s="361"/>
      <c r="C849" s="361"/>
      <c r="D849" s="361"/>
      <c r="E849" s="361"/>
      <c r="F849" s="361"/>
      <c r="G849" s="363"/>
      <c r="H849" s="364"/>
      <c r="I849" s="363"/>
      <c r="J849" s="363"/>
    </row>
    <row r="850" spans="1:10" s="197" customFormat="1" x14ac:dyDescent="0.2">
      <c r="A850" s="360"/>
      <c r="B850" s="361"/>
      <c r="C850" s="361"/>
      <c r="D850" s="361"/>
      <c r="E850" s="361"/>
      <c r="F850" s="361"/>
      <c r="G850" s="363"/>
      <c r="H850" s="364"/>
      <c r="I850" s="363"/>
      <c r="J850" s="363"/>
    </row>
    <row r="851" spans="1:10" s="197" customFormat="1" x14ac:dyDescent="0.2">
      <c r="A851" s="360"/>
      <c r="B851" s="361"/>
      <c r="C851" s="361"/>
      <c r="D851" s="361"/>
      <c r="E851" s="361"/>
      <c r="F851" s="361"/>
      <c r="G851" s="363"/>
      <c r="H851" s="364"/>
      <c r="I851" s="363"/>
      <c r="J851" s="363"/>
    </row>
    <row r="852" spans="1:10" s="197" customFormat="1" x14ac:dyDescent="0.2">
      <c r="A852" s="360"/>
      <c r="B852" s="361"/>
      <c r="C852" s="361"/>
      <c r="D852" s="361"/>
      <c r="E852" s="361"/>
      <c r="F852" s="361"/>
      <c r="G852" s="363"/>
      <c r="H852" s="364"/>
      <c r="I852" s="363"/>
      <c r="J852" s="363"/>
    </row>
    <row r="853" spans="1:10" s="197" customFormat="1" x14ac:dyDescent="0.2">
      <c r="A853" s="360"/>
      <c r="B853" s="361"/>
      <c r="C853" s="361"/>
      <c r="D853" s="361"/>
      <c r="E853" s="361"/>
      <c r="F853" s="361"/>
      <c r="G853" s="363"/>
      <c r="H853" s="364"/>
      <c r="I853" s="363"/>
      <c r="J853" s="363"/>
    </row>
    <row r="854" spans="1:10" s="197" customFormat="1" x14ac:dyDescent="0.2">
      <c r="A854" s="360"/>
      <c r="B854" s="361"/>
      <c r="C854" s="361"/>
      <c r="D854" s="361"/>
      <c r="E854" s="361"/>
      <c r="F854" s="361"/>
      <c r="G854" s="363"/>
      <c r="H854" s="364"/>
      <c r="I854" s="363"/>
      <c r="J854" s="363"/>
    </row>
    <row r="855" spans="1:10" s="197" customFormat="1" x14ac:dyDescent="0.2">
      <c r="A855" s="360"/>
      <c r="B855" s="361"/>
      <c r="C855" s="361"/>
      <c r="D855" s="361"/>
      <c r="E855" s="361"/>
      <c r="F855" s="361"/>
      <c r="G855" s="363"/>
      <c r="H855" s="364"/>
      <c r="I855" s="363"/>
      <c r="J855" s="363"/>
    </row>
    <row r="856" spans="1:10" s="197" customFormat="1" x14ac:dyDescent="0.2">
      <c r="A856" s="360"/>
      <c r="B856" s="361"/>
      <c r="C856" s="361"/>
      <c r="D856" s="361"/>
      <c r="E856" s="361"/>
      <c r="F856" s="361"/>
      <c r="G856" s="363"/>
      <c r="H856" s="364"/>
      <c r="I856" s="363"/>
      <c r="J856" s="363"/>
    </row>
    <row r="857" spans="1:10" s="197" customFormat="1" x14ac:dyDescent="0.2">
      <c r="A857" s="360"/>
      <c r="B857" s="361"/>
      <c r="C857" s="361"/>
      <c r="D857" s="361"/>
      <c r="E857" s="361"/>
      <c r="F857" s="361"/>
      <c r="G857" s="363"/>
      <c r="H857" s="364"/>
      <c r="I857" s="363"/>
      <c r="J857" s="363"/>
    </row>
    <row r="858" spans="1:10" s="197" customFormat="1" x14ac:dyDescent="0.2">
      <c r="A858" s="360"/>
      <c r="B858" s="361"/>
      <c r="C858" s="361"/>
      <c r="D858" s="361"/>
      <c r="E858" s="361"/>
      <c r="F858" s="361"/>
      <c r="G858" s="363"/>
      <c r="H858" s="364"/>
      <c r="I858" s="363"/>
      <c r="J858" s="363"/>
    </row>
    <row r="859" spans="1:10" s="197" customFormat="1" x14ac:dyDescent="0.2">
      <c r="A859" s="360"/>
      <c r="B859" s="361"/>
      <c r="C859" s="361"/>
      <c r="D859" s="361"/>
      <c r="E859" s="361"/>
      <c r="F859" s="361"/>
      <c r="G859" s="363"/>
      <c r="H859" s="364"/>
      <c r="I859" s="363"/>
      <c r="J859" s="363"/>
    </row>
    <row r="860" spans="1:10" s="197" customFormat="1" x14ac:dyDescent="0.2">
      <c r="A860" s="360"/>
      <c r="B860" s="361"/>
      <c r="C860" s="361"/>
      <c r="D860" s="361"/>
      <c r="E860" s="361"/>
      <c r="F860" s="361"/>
      <c r="G860" s="363"/>
      <c r="H860" s="364"/>
      <c r="I860" s="363"/>
      <c r="J860" s="363"/>
    </row>
    <row r="861" spans="1:10" s="197" customFormat="1" x14ac:dyDescent="0.2">
      <c r="A861" s="360"/>
      <c r="B861" s="361"/>
      <c r="C861" s="361"/>
      <c r="D861" s="361"/>
      <c r="E861" s="361"/>
      <c r="F861" s="361"/>
      <c r="G861" s="363"/>
      <c r="H861" s="364"/>
      <c r="I861" s="363"/>
      <c r="J861" s="363"/>
    </row>
    <row r="862" spans="1:10" s="197" customFormat="1" x14ac:dyDescent="0.2">
      <c r="A862" s="360"/>
      <c r="B862" s="361"/>
      <c r="C862" s="361"/>
      <c r="D862" s="361"/>
      <c r="E862" s="361"/>
      <c r="F862" s="361"/>
      <c r="G862" s="363"/>
      <c r="H862" s="364"/>
      <c r="I862" s="363"/>
      <c r="J862" s="363"/>
    </row>
    <row r="863" spans="1:10" s="197" customFormat="1" x14ac:dyDescent="0.2">
      <c r="A863" s="360"/>
      <c r="B863" s="361"/>
      <c r="C863" s="361"/>
      <c r="D863" s="361"/>
      <c r="E863" s="361"/>
      <c r="F863" s="361"/>
      <c r="G863" s="363"/>
      <c r="H863" s="364"/>
      <c r="I863" s="363"/>
      <c r="J863" s="363"/>
    </row>
    <row r="864" spans="1:10" s="197" customFormat="1" x14ac:dyDescent="0.2">
      <c r="A864" s="360"/>
      <c r="B864" s="361"/>
      <c r="C864" s="361"/>
      <c r="D864" s="361"/>
      <c r="E864" s="361"/>
      <c r="F864" s="361"/>
      <c r="G864" s="363"/>
      <c r="H864" s="364"/>
      <c r="I864" s="363"/>
      <c r="J864" s="363"/>
    </row>
    <row r="865" spans="1:10" s="197" customFormat="1" x14ac:dyDescent="0.2">
      <c r="A865" s="360"/>
      <c r="B865" s="361"/>
      <c r="C865" s="361"/>
      <c r="D865" s="361"/>
      <c r="E865" s="361"/>
      <c r="F865" s="361"/>
      <c r="G865" s="363"/>
      <c r="H865" s="364"/>
      <c r="I865" s="363"/>
      <c r="J865" s="363"/>
    </row>
    <row r="866" spans="1:10" s="197" customFormat="1" x14ac:dyDescent="0.2">
      <c r="A866" s="360"/>
      <c r="B866" s="361"/>
      <c r="C866" s="361"/>
      <c r="D866" s="361"/>
      <c r="E866" s="361"/>
      <c r="F866" s="361"/>
      <c r="G866" s="363"/>
      <c r="H866" s="364"/>
      <c r="I866" s="363"/>
      <c r="J866" s="363"/>
    </row>
    <row r="867" spans="1:10" s="197" customFormat="1" x14ac:dyDescent="0.2">
      <c r="A867" s="360"/>
      <c r="B867" s="361"/>
      <c r="C867" s="361"/>
      <c r="D867" s="361"/>
      <c r="E867" s="361"/>
      <c r="F867" s="361"/>
      <c r="G867" s="363"/>
      <c r="H867" s="364"/>
      <c r="I867" s="363"/>
      <c r="J867" s="363"/>
    </row>
    <row r="868" spans="1:10" s="197" customFormat="1" x14ac:dyDescent="0.2">
      <c r="A868" s="360"/>
      <c r="B868" s="361"/>
      <c r="C868" s="361"/>
      <c r="D868" s="361"/>
      <c r="E868" s="361"/>
      <c r="F868" s="361"/>
      <c r="G868" s="363"/>
      <c r="H868" s="364"/>
      <c r="I868" s="363"/>
      <c r="J868" s="363"/>
    </row>
    <row r="869" spans="1:10" s="197" customFormat="1" x14ac:dyDescent="0.2">
      <c r="A869" s="360"/>
      <c r="B869" s="361"/>
      <c r="C869" s="361"/>
      <c r="D869" s="361"/>
      <c r="E869" s="361"/>
      <c r="F869" s="361"/>
      <c r="G869" s="363"/>
      <c r="H869" s="364"/>
      <c r="I869" s="363"/>
      <c r="J869" s="363"/>
    </row>
    <row r="870" spans="1:10" s="197" customFormat="1" x14ac:dyDescent="0.2">
      <c r="A870" s="360"/>
      <c r="B870" s="361"/>
      <c r="C870" s="361"/>
      <c r="D870" s="361"/>
      <c r="E870" s="361"/>
      <c r="F870" s="361"/>
      <c r="G870" s="363"/>
      <c r="H870" s="364"/>
      <c r="I870" s="363"/>
      <c r="J870" s="363"/>
    </row>
    <row r="871" spans="1:10" s="197" customFormat="1" x14ac:dyDescent="0.2">
      <c r="A871" s="360"/>
      <c r="B871" s="361"/>
      <c r="C871" s="361"/>
      <c r="D871" s="361"/>
      <c r="E871" s="361"/>
      <c r="F871" s="361"/>
      <c r="G871" s="363"/>
      <c r="H871" s="364"/>
      <c r="I871" s="363"/>
      <c r="J871" s="363"/>
    </row>
    <row r="872" spans="1:10" s="197" customFormat="1" x14ac:dyDescent="0.2">
      <c r="A872" s="360"/>
      <c r="B872" s="361"/>
      <c r="C872" s="361"/>
      <c r="D872" s="361"/>
      <c r="E872" s="361"/>
      <c r="F872" s="361"/>
      <c r="G872" s="363"/>
      <c r="H872" s="364"/>
      <c r="I872" s="363"/>
      <c r="J872" s="363"/>
    </row>
    <row r="873" spans="1:10" s="197" customFormat="1" x14ac:dyDescent="0.2">
      <c r="A873" s="360"/>
      <c r="B873" s="361"/>
      <c r="C873" s="361"/>
      <c r="D873" s="361"/>
      <c r="E873" s="361"/>
      <c r="F873" s="361"/>
      <c r="G873" s="363"/>
      <c r="H873" s="364"/>
      <c r="I873" s="363"/>
      <c r="J873" s="363"/>
    </row>
    <row r="874" spans="1:10" s="197" customFormat="1" x14ac:dyDescent="0.2">
      <c r="A874" s="360"/>
      <c r="B874" s="361"/>
      <c r="C874" s="361"/>
      <c r="D874" s="361"/>
      <c r="E874" s="361"/>
      <c r="F874" s="361"/>
      <c r="G874" s="363"/>
      <c r="H874" s="364"/>
      <c r="I874" s="363"/>
      <c r="J874" s="363"/>
    </row>
    <row r="875" spans="1:10" s="197" customFormat="1" x14ac:dyDescent="0.2">
      <c r="A875" s="360"/>
      <c r="B875" s="361"/>
      <c r="C875" s="361"/>
      <c r="D875" s="361"/>
      <c r="E875" s="361"/>
      <c r="F875" s="361"/>
      <c r="G875" s="363"/>
      <c r="H875" s="364"/>
      <c r="I875" s="363"/>
      <c r="J875" s="363"/>
    </row>
    <row r="876" spans="1:10" s="197" customFormat="1" x14ac:dyDescent="0.2">
      <c r="A876" s="360"/>
      <c r="B876" s="361"/>
      <c r="C876" s="361"/>
      <c r="D876" s="361"/>
      <c r="E876" s="361"/>
      <c r="F876" s="361"/>
      <c r="G876" s="363"/>
      <c r="H876" s="364"/>
      <c r="I876" s="363"/>
      <c r="J876" s="363"/>
    </row>
    <row r="877" spans="1:10" s="197" customFormat="1" x14ac:dyDescent="0.2">
      <c r="A877" s="360"/>
      <c r="B877" s="361"/>
      <c r="C877" s="361"/>
      <c r="D877" s="361"/>
      <c r="E877" s="361"/>
      <c r="F877" s="361"/>
      <c r="G877" s="363"/>
      <c r="H877" s="364"/>
      <c r="I877" s="363"/>
      <c r="J877" s="363"/>
    </row>
    <row r="878" spans="1:10" s="197" customFormat="1" x14ac:dyDescent="0.2">
      <c r="A878" s="360"/>
      <c r="B878" s="361"/>
      <c r="C878" s="361"/>
      <c r="D878" s="361"/>
      <c r="E878" s="361"/>
      <c r="F878" s="361"/>
      <c r="G878" s="363"/>
      <c r="H878" s="364"/>
      <c r="I878" s="363"/>
      <c r="J878" s="363"/>
    </row>
    <row r="879" spans="1:10" s="197" customFormat="1" x14ac:dyDescent="0.2">
      <c r="A879" s="360"/>
      <c r="B879" s="361"/>
      <c r="C879" s="361"/>
      <c r="D879" s="361"/>
      <c r="E879" s="361"/>
      <c r="F879" s="361"/>
      <c r="G879" s="363"/>
      <c r="H879" s="364"/>
      <c r="I879" s="363"/>
      <c r="J879" s="363"/>
    </row>
    <row r="880" spans="1:10" s="197" customFormat="1" x14ac:dyDescent="0.2">
      <c r="A880" s="360"/>
      <c r="B880" s="361"/>
      <c r="C880" s="361"/>
      <c r="D880" s="361"/>
      <c r="E880" s="361"/>
      <c r="F880" s="361"/>
      <c r="G880" s="363"/>
      <c r="H880" s="364"/>
      <c r="I880" s="363"/>
      <c r="J880" s="363"/>
    </row>
    <row r="881" spans="1:10" s="197" customFormat="1" x14ac:dyDescent="0.2">
      <c r="A881" s="360"/>
      <c r="B881" s="361"/>
      <c r="C881" s="361"/>
      <c r="D881" s="361"/>
      <c r="E881" s="361"/>
      <c r="F881" s="361"/>
      <c r="G881" s="363"/>
      <c r="H881" s="364"/>
      <c r="I881" s="363"/>
      <c r="J881" s="363"/>
    </row>
    <row r="882" spans="1:10" s="197" customFormat="1" x14ac:dyDescent="0.2">
      <c r="A882" s="360"/>
      <c r="B882" s="361"/>
      <c r="C882" s="361"/>
      <c r="D882" s="361"/>
      <c r="E882" s="361"/>
      <c r="F882" s="361"/>
      <c r="G882" s="363"/>
      <c r="H882" s="364"/>
      <c r="I882" s="363"/>
      <c r="J882" s="363"/>
    </row>
    <row r="883" spans="1:10" s="197" customFormat="1" x14ac:dyDescent="0.2">
      <c r="A883" s="360"/>
      <c r="B883" s="361"/>
      <c r="C883" s="361"/>
      <c r="D883" s="361"/>
      <c r="E883" s="361"/>
      <c r="F883" s="361"/>
      <c r="G883" s="363"/>
      <c r="H883" s="364"/>
      <c r="I883" s="363"/>
      <c r="J883" s="363"/>
    </row>
    <row r="884" spans="1:10" s="197" customFormat="1" x14ac:dyDescent="0.2">
      <c r="A884" s="360"/>
      <c r="B884" s="361"/>
      <c r="C884" s="361"/>
      <c r="D884" s="361"/>
      <c r="E884" s="361"/>
      <c r="F884" s="361"/>
      <c r="G884" s="363"/>
      <c r="H884" s="364"/>
      <c r="I884" s="363"/>
      <c r="J884" s="363"/>
    </row>
    <row r="885" spans="1:10" s="197" customFormat="1" x14ac:dyDescent="0.2">
      <c r="A885" s="360"/>
      <c r="B885" s="361"/>
      <c r="C885" s="361"/>
      <c r="D885" s="361"/>
      <c r="E885" s="361"/>
      <c r="F885" s="361"/>
      <c r="G885" s="363"/>
      <c r="H885" s="364"/>
      <c r="I885" s="363"/>
      <c r="J885" s="363"/>
    </row>
    <row r="886" spans="1:10" s="197" customFormat="1" x14ac:dyDescent="0.2">
      <c r="A886" s="360"/>
      <c r="B886" s="361"/>
      <c r="C886" s="361"/>
      <c r="D886" s="361"/>
      <c r="E886" s="361"/>
      <c r="F886" s="361"/>
      <c r="G886" s="363"/>
      <c r="H886" s="364"/>
      <c r="I886" s="363"/>
      <c r="J886" s="363"/>
    </row>
    <row r="887" spans="1:10" s="197" customFormat="1" x14ac:dyDescent="0.2">
      <c r="A887" s="360"/>
      <c r="B887" s="361"/>
      <c r="C887" s="361"/>
      <c r="D887" s="361"/>
      <c r="E887" s="361"/>
      <c r="F887" s="361"/>
      <c r="G887" s="363"/>
      <c r="H887" s="364"/>
      <c r="I887" s="363"/>
      <c r="J887" s="363"/>
    </row>
    <row r="888" spans="1:10" s="197" customFormat="1" x14ac:dyDescent="0.2">
      <c r="A888" s="360"/>
      <c r="B888" s="361"/>
      <c r="C888" s="361"/>
      <c r="D888" s="361"/>
      <c r="E888" s="361"/>
      <c r="F888" s="361"/>
      <c r="G888" s="363"/>
      <c r="H888" s="364"/>
      <c r="I888" s="363"/>
      <c r="J888" s="363"/>
    </row>
    <row r="889" spans="1:10" s="197" customFormat="1" x14ac:dyDescent="0.2">
      <c r="A889" s="360"/>
      <c r="B889" s="361"/>
      <c r="C889" s="361"/>
      <c r="D889" s="361"/>
      <c r="E889" s="361"/>
      <c r="F889" s="361"/>
      <c r="G889" s="363"/>
      <c r="H889" s="364"/>
      <c r="I889" s="363"/>
      <c r="J889" s="363"/>
    </row>
    <row r="890" spans="1:10" s="197" customFormat="1" x14ac:dyDescent="0.2">
      <c r="A890" s="360"/>
      <c r="B890" s="361"/>
      <c r="C890" s="361"/>
      <c r="D890" s="361"/>
      <c r="E890" s="361"/>
      <c r="F890" s="361"/>
      <c r="G890" s="363"/>
      <c r="H890" s="364"/>
      <c r="I890" s="363"/>
      <c r="J890" s="363"/>
    </row>
    <row r="891" spans="1:10" s="197" customFormat="1" x14ac:dyDescent="0.2">
      <c r="A891" s="360"/>
      <c r="B891" s="361"/>
      <c r="C891" s="361"/>
      <c r="D891" s="361"/>
      <c r="E891" s="361"/>
      <c r="F891" s="361"/>
      <c r="G891" s="363"/>
      <c r="H891" s="364"/>
      <c r="I891" s="363"/>
      <c r="J891" s="363"/>
    </row>
    <row r="892" spans="1:10" s="197" customFormat="1" x14ac:dyDescent="0.2">
      <c r="A892" s="360"/>
      <c r="B892" s="361"/>
      <c r="C892" s="361"/>
      <c r="D892" s="361"/>
      <c r="E892" s="361"/>
      <c r="F892" s="361"/>
      <c r="G892" s="363"/>
      <c r="H892" s="364"/>
      <c r="I892" s="363"/>
      <c r="J892" s="363"/>
    </row>
    <row r="893" spans="1:10" s="197" customFormat="1" x14ac:dyDescent="0.2">
      <c r="A893" s="360"/>
      <c r="B893" s="361"/>
      <c r="C893" s="361"/>
      <c r="D893" s="361"/>
      <c r="E893" s="361"/>
      <c r="F893" s="361"/>
      <c r="G893" s="363"/>
      <c r="H893" s="364"/>
      <c r="I893" s="363"/>
      <c r="J893" s="363"/>
    </row>
    <row r="894" spans="1:10" s="197" customFormat="1" x14ac:dyDescent="0.2">
      <c r="A894" s="360"/>
      <c r="B894" s="361"/>
      <c r="C894" s="361"/>
      <c r="D894" s="361"/>
      <c r="E894" s="361"/>
      <c r="F894" s="361"/>
      <c r="G894" s="363"/>
      <c r="H894" s="364"/>
      <c r="I894" s="363"/>
      <c r="J894" s="363"/>
    </row>
    <row r="895" spans="1:10" s="197" customFormat="1" x14ac:dyDescent="0.2">
      <c r="A895" s="360"/>
      <c r="B895" s="361"/>
      <c r="C895" s="361"/>
      <c r="D895" s="361"/>
      <c r="E895" s="361"/>
      <c r="F895" s="361"/>
      <c r="G895" s="363"/>
      <c r="H895" s="364"/>
      <c r="I895" s="363"/>
      <c r="J895" s="363"/>
    </row>
    <row r="896" spans="1:10" s="197" customFormat="1" x14ac:dyDescent="0.2">
      <c r="A896" s="360"/>
      <c r="B896" s="361"/>
      <c r="C896" s="361"/>
      <c r="D896" s="361"/>
      <c r="E896" s="361"/>
      <c r="F896" s="361"/>
      <c r="G896" s="363"/>
      <c r="H896" s="364"/>
      <c r="I896" s="363"/>
      <c r="J896" s="363"/>
    </row>
    <row r="897" spans="1:10" s="197" customFormat="1" x14ac:dyDescent="0.2">
      <c r="A897" s="360"/>
      <c r="B897" s="361"/>
      <c r="C897" s="361"/>
      <c r="D897" s="361"/>
      <c r="E897" s="361"/>
      <c r="F897" s="361"/>
      <c r="G897" s="363"/>
      <c r="H897" s="364"/>
      <c r="I897" s="363"/>
      <c r="J897" s="363"/>
    </row>
    <row r="898" spans="1:10" s="197" customFormat="1" x14ac:dyDescent="0.2">
      <c r="A898" s="360"/>
      <c r="B898" s="361"/>
      <c r="C898" s="361"/>
      <c r="D898" s="361"/>
      <c r="E898" s="361"/>
      <c r="F898" s="361"/>
      <c r="G898" s="363"/>
      <c r="H898" s="364"/>
      <c r="I898" s="363"/>
      <c r="J898" s="363"/>
    </row>
    <row r="899" spans="1:10" s="197" customFormat="1" x14ac:dyDescent="0.2">
      <c r="A899" s="360"/>
      <c r="B899" s="361"/>
      <c r="C899" s="361"/>
      <c r="D899" s="361"/>
      <c r="E899" s="361"/>
      <c r="F899" s="361"/>
      <c r="G899" s="363"/>
      <c r="H899" s="364"/>
      <c r="I899" s="363"/>
      <c r="J899" s="363"/>
    </row>
    <row r="900" spans="1:10" s="197" customFormat="1" x14ac:dyDescent="0.2">
      <c r="A900" s="360"/>
      <c r="B900" s="361"/>
      <c r="C900" s="361"/>
      <c r="D900" s="361"/>
      <c r="E900" s="361"/>
      <c r="F900" s="361"/>
      <c r="G900" s="363"/>
      <c r="H900" s="364"/>
      <c r="I900" s="363"/>
      <c r="J900" s="363"/>
    </row>
    <row r="901" spans="1:10" s="197" customFormat="1" x14ac:dyDescent="0.2">
      <c r="A901" s="360"/>
      <c r="B901" s="361"/>
      <c r="C901" s="361"/>
      <c r="D901" s="361"/>
      <c r="E901" s="361"/>
      <c r="F901" s="361"/>
      <c r="G901" s="363"/>
      <c r="H901" s="364"/>
      <c r="I901" s="363"/>
      <c r="J901" s="363"/>
    </row>
    <row r="902" spans="1:10" s="197" customFormat="1" x14ac:dyDescent="0.2">
      <c r="A902" s="360"/>
      <c r="B902" s="361"/>
      <c r="C902" s="361"/>
      <c r="D902" s="361"/>
      <c r="E902" s="361"/>
      <c r="F902" s="361"/>
      <c r="G902" s="363"/>
      <c r="H902" s="364"/>
      <c r="I902" s="363"/>
      <c r="J902" s="363"/>
    </row>
    <row r="903" spans="1:10" s="197" customFormat="1" x14ac:dyDescent="0.2">
      <c r="A903" s="360"/>
      <c r="B903" s="361"/>
      <c r="C903" s="361"/>
      <c r="D903" s="361"/>
      <c r="E903" s="361"/>
      <c r="F903" s="361"/>
      <c r="G903" s="363"/>
      <c r="H903" s="364"/>
      <c r="I903" s="363"/>
      <c r="J903" s="363"/>
    </row>
    <row r="904" spans="1:10" s="197" customFormat="1" x14ac:dyDescent="0.2">
      <c r="A904" s="360"/>
      <c r="B904" s="361"/>
      <c r="C904" s="361"/>
      <c r="D904" s="361"/>
      <c r="E904" s="361"/>
      <c r="F904" s="361"/>
      <c r="G904" s="363"/>
      <c r="H904" s="364"/>
      <c r="I904" s="363"/>
      <c r="J904" s="363"/>
    </row>
    <row r="905" spans="1:10" s="197" customFormat="1" x14ac:dyDescent="0.2">
      <c r="A905" s="360"/>
      <c r="B905" s="361"/>
      <c r="C905" s="361"/>
      <c r="D905" s="361"/>
      <c r="E905" s="361"/>
      <c r="F905" s="361"/>
      <c r="G905" s="363"/>
      <c r="H905" s="364"/>
      <c r="I905" s="363"/>
      <c r="J905" s="363"/>
    </row>
    <row r="906" spans="1:10" s="197" customFormat="1" x14ac:dyDescent="0.2">
      <c r="A906" s="360"/>
      <c r="B906" s="361"/>
      <c r="C906" s="361"/>
      <c r="D906" s="361"/>
      <c r="E906" s="361"/>
      <c r="F906" s="361"/>
      <c r="G906" s="363"/>
      <c r="H906" s="364"/>
      <c r="I906" s="363"/>
      <c r="J906" s="363"/>
    </row>
    <row r="907" spans="1:10" s="197" customFormat="1" x14ac:dyDescent="0.2">
      <c r="A907" s="360"/>
      <c r="B907" s="361"/>
      <c r="C907" s="361"/>
      <c r="D907" s="361"/>
      <c r="E907" s="361"/>
      <c r="F907" s="361"/>
      <c r="G907" s="363"/>
      <c r="H907" s="364"/>
      <c r="I907" s="363"/>
      <c r="J907" s="363"/>
    </row>
    <row r="908" spans="1:10" s="197" customFormat="1" x14ac:dyDescent="0.2">
      <c r="A908" s="360"/>
      <c r="B908" s="361"/>
      <c r="C908" s="361"/>
      <c r="D908" s="361"/>
      <c r="E908" s="361"/>
      <c r="F908" s="361"/>
      <c r="G908" s="363"/>
      <c r="H908" s="364"/>
      <c r="I908" s="363"/>
      <c r="J908" s="363"/>
    </row>
    <row r="909" spans="1:10" s="197" customFormat="1" x14ac:dyDescent="0.2">
      <c r="A909" s="360"/>
      <c r="B909" s="361"/>
      <c r="C909" s="361"/>
      <c r="D909" s="361"/>
      <c r="E909" s="361"/>
      <c r="F909" s="361"/>
      <c r="G909" s="363"/>
      <c r="H909" s="364"/>
      <c r="I909" s="363"/>
      <c r="J909" s="363"/>
    </row>
    <row r="910" spans="1:10" s="197" customFormat="1" x14ac:dyDescent="0.2">
      <c r="A910" s="360"/>
      <c r="B910" s="361"/>
      <c r="C910" s="361"/>
      <c r="D910" s="361"/>
      <c r="E910" s="361"/>
      <c r="F910" s="361"/>
      <c r="G910" s="363"/>
      <c r="H910" s="364"/>
      <c r="I910" s="363"/>
      <c r="J910" s="363"/>
    </row>
    <row r="911" spans="1:10" s="197" customFormat="1" x14ac:dyDescent="0.2">
      <c r="A911" s="360"/>
      <c r="B911" s="361"/>
      <c r="C911" s="361"/>
      <c r="D911" s="361"/>
      <c r="E911" s="361"/>
      <c r="F911" s="361"/>
      <c r="G911" s="363"/>
      <c r="H911" s="364"/>
      <c r="I911" s="363"/>
      <c r="J911" s="363"/>
    </row>
    <row r="912" spans="1:10" s="197" customFormat="1" x14ac:dyDescent="0.2">
      <c r="A912" s="360"/>
      <c r="B912" s="361"/>
      <c r="C912" s="361"/>
      <c r="D912" s="361"/>
      <c r="E912" s="361"/>
      <c r="F912" s="361"/>
      <c r="G912" s="363"/>
      <c r="H912" s="364"/>
      <c r="I912" s="363"/>
      <c r="J912" s="363"/>
    </row>
    <row r="913" spans="1:10" s="197" customFormat="1" x14ac:dyDescent="0.2">
      <c r="A913" s="360"/>
      <c r="B913" s="361"/>
      <c r="C913" s="361"/>
      <c r="D913" s="361"/>
      <c r="E913" s="361"/>
      <c r="F913" s="361"/>
      <c r="G913" s="363"/>
      <c r="H913" s="364"/>
      <c r="I913" s="363"/>
      <c r="J913" s="363"/>
    </row>
    <row r="914" spans="1:10" s="197" customFormat="1" x14ac:dyDescent="0.2">
      <c r="A914" s="360"/>
      <c r="B914" s="361"/>
      <c r="C914" s="361"/>
      <c r="D914" s="361"/>
      <c r="E914" s="361"/>
      <c r="F914" s="361"/>
      <c r="G914" s="363"/>
      <c r="H914" s="364"/>
      <c r="I914" s="363"/>
      <c r="J914" s="363"/>
    </row>
    <row r="915" spans="1:10" s="197" customFormat="1" x14ac:dyDescent="0.2">
      <c r="A915" s="360"/>
      <c r="B915" s="361"/>
      <c r="C915" s="361"/>
      <c r="D915" s="361"/>
      <c r="E915" s="361"/>
      <c r="F915" s="361"/>
      <c r="G915" s="363"/>
      <c r="H915" s="364"/>
      <c r="I915" s="363"/>
      <c r="J915" s="363"/>
    </row>
    <row r="916" spans="1:10" s="197" customFormat="1" x14ac:dyDescent="0.2">
      <c r="A916" s="360"/>
      <c r="B916" s="361"/>
      <c r="C916" s="361"/>
      <c r="D916" s="361"/>
      <c r="E916" s="361"/>
      <c r="F916" s="361"/>
      <c r="G916" s="363"/>
      <c r="H916" s="364"/>
      <c r="I916" s="363"/>
      <c r="J916" s="363"/>
    </row>
    <row r="917" spans="1:10" s="197" customFormat="1" x14ac:dyDescent="0.2">
      <c r="A917" s="360"/>
      <c r="B917" s="361"/>
      <c r="C917" s="361"/>
      <c r="D917" s="361"/>
      <c r="E917" s="361"/>
      <c r="F917" s="361"/>
      <c r="G917" s="363"/>
      <c r="H917" s="364"/>
      <c r="I917" s="363"/>
      <c r="J917" s="363"/>
    </row>
    <row r="918" spans="1:10" s="197" customFormat="1" x14ac:dyDescent="0.2">
      <c r="A918" s="360"/>
      <c r="B918" s="361"/>
      <c r="C918" s="361"/>
      <c r="D918" s="361"/>
      <c r="E918" s="361"/>
      <c r="F918" s="361"/>
      <c r="G918" s="363"/>
      <c r="H918" s="364"/>
      <c r="I918" s="363"/>
      <c r="J918" s="363"/>
    </row>
    <row r="919" spans="1:10" s="197" customFormat="1" x14ac:dyDescent="0.2">
      <c r="A919" s="360"/>
      <c r="B919" s="361"/>
      <c r="C919" s="361"/>
      <c r="D919" s="361"/>
      <c r="E919" s="361"/>
      <c r="F919" s="361"/>
      <c r="G919" s="363"/>
      <c r="H919" s="364"/>
      <c r="I919" s="363"/>
      <c r="J919" s="363"/>
    </row>
    <row r="920" spans="1:10" s="197" customFormat="1" x14ac:dyDescent="0.2">
      <c r="A920" s="360"/>
      <c r="B920" s="361"/>
      <c r="C920" s="361"/>
      <c r="D920" s="361"/>
      <c r="E920" s="361"/>
      <c r="F920" s="361"/>
      <c r="G920" s="363"/>
      <c r="H920" s="364"/>
      <c r="I920" s="363"/>
      <c r="J920" s="363"/>
    </row>
    <row r="921" spans="1:10" s="197" customFormat="1" x14ac:dyDescent="0.2">
      <c r="A921" s="360"/>
      <c r="B921" s="361"/>
      <c r="C921" s="361"/>
      <c r="D921" s="361"/>
      <c r="E921" s="361"/>
      <c r="F921" s="361"/>
      <c r="G921" s="363"/>
      <c r="H921" s="364"/>
      <c r="I921" s="363"/>
      <c r="J921" s="363"/>
    </row>
    <row r="922" spans="1:10" s="197" customFormat="1" x14ac:dyDescent="0.2">
      <c r="A922" s="360"/>
      <c r="B922" s="361"/>
      <c r="C922" s="361"/>
      <c r="D922" s="361"/>
      <c r="E922" s="361"/>
      <c r="F922" s="361"/>
      <c r="G922" s="363"/>
      <c r="H922" s="364"/>
      <c r="I922" s="363"/>
      <c r="J922" s="363"/>
    </row>
    <row r="923" spans="1:10" s="197" customFormat="1" x14ac:dyDescent="0.2">
      <c r="A923" s="360"/>
      <c r="B923" s="361"/>
      <c r="C923" s="361"/>
      <c r="D923" s="361"/>
      <c r="E923" s="361"/>
      <c r="F923" s="361"/>
      <c r="G923" s="363"/>
      <c r="H923" s="364"/>
      <c r="I923" s="363"/>
      <c r="J923" s="363"/>
    </row>
    <row r="924" spans="1:10" s="197" customFormat="1" x14ac:dyDescent="0.2">
      <c r="A924" s="360"/>
      <c r="B924" s="361"/>
      <c r="C924" s="361"/>
      <c r="D924" s="361"/>
      <c r="E924" s="361"/>
      <c r="F924" s="361"/>
      <c r="G924" s="363"/>
      <c r="H924" s="364"/>
      <c r="I924" s="363"/>
      <c r="J924" s="363"/>
    </row>
    <row r="925" spans="1:10" s="197" customFormat="1" x14ac:dyDescent="0.2">
      <c r="A925" s="360"/>
      <c r="B925" s="361"/>
      <c r="C925" s="361"/>
      <c r="D925" s="361"/>
      <c r="E925" s="361"/>
      <c r="F925" s="361"/>
      <c r="G925" s="363"/>
      <c r="H925" s="364"/>
      <c r="I925" s="363"/>
      <c r="J925" s="363"/>
    </row>
    <row r="926" spans="1:10" s="197" customFormat="1" x14ac:dyDescent="0.2">
      <c r="A926" s="360"/>
      <c r="B926" s="361"/>
      <c r="C926" s="361"/>
      <c r="D926" s="361"/>
      <c r="E926" s="361"/>
      <c r="F926" s="361"/>
      <c r="G926" s="363"/>
      <c r="H926" s="364"/>
      <c r="I926" s="363"/>
      <c r="J926" s="363"/>
    </row>
    <row r="927" spans="1:10" s="197" customFormat="1" x14ac:dyDescent="0.2">
      <c r="A927" s="360"/>
      <c r="B927" s="361"/>
      <c r="C927" s="361"/>
      <c r="D927" s="361"/>
      <c r="E927" s="361"/>
      <c r="F927" s="361"/>
      <c r="G927" s="363"/>
      <c r="H927" s="364"/>
      <c r="I927" s="363"/>
      <c r="J927" s="363"/>
    </row>
    <row r="928" spans="1:10" s="197" customFormat="1" x14ac:dyDescent="0.2">
      <c r="A928" s="360"/>
      <c r="B928" s="361"/>
      <c r="C928" s="361"/>
      <c r="D928" s="361"/>
      <c r="E928" s="361"/>
      <c r="F928" s="361"/>
      <c r="G928" s="363"/>
      <c r="H928" s="364"/>
      <c r="I928" s="363"/>
      <c r="J928" s="363"/>
    </row>
    <row r="929" spans="1:10" s="197" customFormat="1" x14ac:dyDescent="0.2">
      <c r="A929" s="360"/>
      <c r="B929" s="361"/>
      <c r="C929" s="361"/>
      <c r="D929" s="361"/>
      <c r="E929" s="361"/>
      <c r="F929" s="361"/>
      <c r="G929" s="363"/>
      <c r="H929" s="364"/>
      <c r="I929" s="363"/>
      <c r="J929" s="363"/>
    </row>
    <row r="930" spans="1:10" s="197" customFormat="1" x14ac:dyDescent="0.2">
      <c r="A930" s="360"/>
      <c r="B930" s="361"/>
      <c r="C930" s="361"/>
      <c r="D930" s="361"/>
      <c r="E930" s="361"/>
      <c r="F930" s="361"/>
      <c r="G930" s="363"/>
      <c r="H930" s="364"/>
      <c r="I930" s="363"/>
      <c r="J930" s="363"/>
    </row>
    <row r="931" spans="1:10" s="197" customFormat="1" x14ac:dyDescent="0.2">
      <c r="A931" s="360"/>
      <c r="B931" s="361"/>
      <c r="C931" s="361"/>
      <c r="D931" s="361"/>
      <c r="E931" s="361"/>
      <c r="F931" s="361"/>
      <c r="G931" s="363"/>
      <c r="H931" s="364"/>
      <c r="I931" s="363"/>
      <c r="J931" s="363"/>
    </row>
    <row r="932" spans="1:10" s="197" customFormat="1" x14ac:dyDescent="0.2">
      <c r="A932" s="360"/>
      <c r="B932" s="361"/>
      <c r="C932" s="361"/>
      <c r="D932" s="361"/>
      <c r="E932" s="361"/>
      <c r="F932" s="361"/>
      <c r="G932" s="363"/>
      <c r="H932" s="364"/>
      <c r="I932" s="363"/>
      <c r="J932" s="363"/>
    </row>
    <row r="933" spans="1:10" s="197" customFormat="1" x14ac:dyDescent="0.2">
      <c r="A933" s="360"/>
      <c r="B933" s="361"/>
      <c r="C933" s="361"/>
      <c r="D933" s="361"/>
      <c r="E933" s="361"/>
      <c r="F933" s="361"/>
      <c r="G933" s="363"/>
      <c r="H933" s="364"/>
      <c r="I933" s="363"/>
      <c r="J933" s="363"/>
    </row>
    <row r="934" spans="1:10" s="197" customFormat="1" x14ac:dyDescent="0.2">
      <c r="A934" s="360"/>
      <c r="B934" s="361"/>
      <c r="C934" s="361"/>
      <c r="D934" s="361"/>
      <c r="E934" s="361"/>
      <c r="F934" s="361"/>
      <c r="G934" s="363"/>
      <c r="H934" s="364"/>
      <c r="I934" s="363"/>
      <c r="J934" s="363"/>
    </row>
    <row r="935" spans="1:10" s="197" customFormat="1" x14ac:dyDescent="0.2">
      <c r="A935" s="360"/>
      <c r="B935" s="361"/>
      <c r="C935" s="361"/>
      <c r="D935" s="361"/>
      <c r="E935" s="361"/>
      <c r="F935" s="361"/>
      <c r="G935" s="363"/>
      <c r="H935" s="364"/>
      <c r="I935" s="363"/>
      <c r="J935" s="363"/>
    </row>
    <row r="936" spans="1:10" s="197" customFormat="1" x14ac:dyDescent="0.2">
      <c r="A936" s="360"/>
      <c r="B936" s="361"/>
      <c r="C936" s="361"/>
      <c r="D936" s="361"/>
      <c r="E936" s="361"/>
      <c r="F936" s="361"/>
      <c r="G936" s="363"/>
      <c r="H936" s="364"/>
      <c r="I936" s="363"/>
      <c r="J936" s="363"/>
    </row>
    <row r="937" spans="1:10" s="197" customFormat="1" x14ac:dyDescent="0.2">
      <c r="A937" s="360"/>
      <c r="B937" s="361"/>
      <c r="C937" s="361"/>
      <c r="D937" s="361"/>
      <c r="E937" s="361"/>
      <c r="F937" s="361"/>
      <c r="G937" s="363"/>
      <c r="H937" s="364"/>
      <c r="I937" s="363"/>
      <c r="J937" s="363"/>
    </row>
    <row r="938" spans="1:10" s="197" customFormat="1" x14ac:dyDescent="0.2">
      <c r="A938" s="360"/>
      <c r="B938" s="361"/>
      <c r="C938" s="361"/>
      <c r="D938" s="361"/>
      <c r="E938" s="361"/>
      <c r="F938" s="361"/>
      <c r="G938" s="363"/>
      <c r="H938" s="364"/>
      <c r="I938" s="363"/>
      <c r="J938" s="363"/>
    </row>
    <row r="939" spans="1:10" s="197" customFormat="1" x14ac:dyDescent="0.2">
      <c r="A939" s="360"/>
      <c r="B939" s="361"/>
      <c r="C939" s="361"/>
      <c r="D939" s="361"/>
      <c r="E939" s="361"/>
      <c r="F939" s="361"/>
      <c r="G939" s="363"/>
      <c r="H939" s="364"/>
      <c r="I939" s="363"/>
      <c r="J939" s="363"/>
    </row>
    <row r="940" spans="1:10" s="197" customFormat="1" x14ac:dyDescent="0.2">
      <c r="A940" s="360"/>
      <c r="B940" s="361"/>
      <c r="C940" s="361"/>
      <c r="D940" s="361"/>
      <c r="E940" s="361"/>
      <c r="F940" s="361"/>
      <c r="G940" s="363"/>
      <c r="H940" s="364"/>
      <c r="I940" s="363"/>
      <c r="J940" s="363"/>
    </row>
    <row r="941" spans="1:10" s="197" customFormat="1" x14ac:dyDescent="0.2">
      <c r="A941" s="360"/>
      <c r="B941" s="361"/>
      <c r="C941" s="361"/>
      <c r="D941" s="361"/>
      <c r="E941" s="361"/>
      <c r="F941" s="361"/>
      <c r="G941" s="363"/>
      <c r="H941" s="364"/>
      <c r="I941" s="363"/>
      <c r="J941" s="363"/>
    </row>
    <row r="942" spans="1:10" s="197" customFormat="1" x14ac:dyDescent="0.2">
      <c r="A942" s="360"/>
      <c r="B942" s="361"/>
      <c r="C942" s="361"/>
      <c r="D942" s="361"/>
      <c r="E942" s="361"/>
      <c r="F942" s="361"/>
      <c r="G942" s="363"/>
      <c r="H942" s="364"/>
      <c r="I942" s="363"/>
      <c r="J942" s="363"/>
    </row>
    <row r="943" spans="1:10" s="197" customFormat="1" x14ac:dyDescent="0.2">
      <c r="A943" s="360"/>
      <c r="B943" s="361"/>
      <c r="C943" s="361"/>
      <c r="D943" s="361"/>
      <c r="E943" s="361"/>
      <c r="F943" s="361"/>
      <c r="G943" s="363"/>
      <c r="H943" s="364"/>
      <c r="I943" s="363"/>
      <c r="J943" s="363"/>
    </row>
    <row r="944" spans="1:10" s="197" customFormat="1" x14ac:dyDescent="0.2">
      <c r="A944" s="360"/>
      <c r="B944" s="361"/>
      <c r="C944" s="361"/>
      <c r="D944" s="361"/>
      <c r="E944" s="361"/>
      <c r="F944" s="361"/>
      <c r="G944" s="363"/>
      <c r="H944" s="364"/>
      <c r="I944" s="363"/>
      <c r="J944" s="363"/>
    </row>
    <row r="945" spans="1:10" s="197" customFormat="1" x14ac:dyDescent="0.2">
      <c r="A945" s="360"/>
      <c r="B945" s="361"/>
      <c r="C945" s="361"/>
      <c r="D945" s="361"/>
      <c r="E945" s="361"/>
      <c r="F945" s="361"/>
      <c r="G945" s="363"/>
      <c r="H945" s="364"/>
      <c r="I945" s="363"/>
      <c r="J945" s="363"/>
    </row>
    <row r="946" spans="1:10" s="197" customFormat="1" x14ac:dyDescent="0.2">
      <c r="A946" s="360"/>
      <c r="B946" s="361"/>
      <c r="C946" s="361"/>
      <c r="D946" s="361"/>
      <c r="E946" s="361"/>
      <c r="F946" s="361"/>
      <c r="G946" s="363"/>
      <c r="H946" s="364"/>
      <c r="I946" s="363"/>
      <c r="J946" s="363"/>
    </row>
    <row r="947" spans="1:10" s="197" customFormat="1" x14ac:dyDescent="0.2">
      <c r="A947" s="360"/>
      <c r="B947" s="361"/>
      <c r="C947" s="361"/>
      <c r="D947" s="361"/>
      <c r="E947" s="361"/>
      <c r="F947" s="361"/>
      <c r="G947" s="363"/>
      <c r="H947" s="364"/>
      <c r="I947" s="363"/>
      <c r="J947" s="363"/>
    </row>
    <row r="948" spans="1:10" s="197" customFormat="1" x14ac:dyDescent="0.2">
      <c r="A948" s="360"/>
      <c r="B948" s="361"/>
      <c r="C948" s="361"/>
      <c r="D948" s="361"/>
      <c r="E948" s="361"/>
      <c r="F948" s="361"/>
      <c r="G948" s="363"/>
      <c r="H948" s="364"/>
      <c r="I948" s="363"/>
      <c r="J948" s="363"/>
    </row>
    <row r="949" spans="1:10" s="197" customFormat="1" x14ac:dyDescent="0.2">
      <c r="A949" s="360"/>
      <c r="B949" s="361"/>
      <c r="C949" s="361"/>
      <c r="D949" s="361"/>
      <c r="E949" s="361"/>
      <c r="F949" s="361"/>
      <c r="G949" s="363"/>
      <c r="H949" s="364"/>
      <c r="I949" s="363"/>
      <c r="J949" s="363"/>
    </row>
    <row r="950" spans="1:10" s="197" customFormat="1" x14ac:dyDescent="0.2">
      <c r="A950" s="360"/>
      <c r="B950" s="361"/>
      <c r="C950" s="361"/>
      <c r="D950" s="361"/>
      <c r="E950" s="361"/>
      <c r="F950" s="361"/>
      <c r="G950" s="363"/>
      <c r="H950" s="364"/>
      <c r="I950" s="363"/>
      <c r="J950" s="363"/>
    </row>
    <row r="951" spans="1:10" s="197" customFormat="1" x14ac:dyDescent="0.2">
      <c r="A951" s="360"/>
      <c r="B951" s="361"/>
      <c r="C951" s="361"/>
      <c r="D951" s="361"/>
      <c r="E951" s="361"/>
      <c r="F951" s="361"/>
      <c r="G951" s="363"/>
      <c r="H951" s="364"/>
      <c r="I951" s="363"/>
      <c r="J951" s="363"/>
    </row>
    <row r="952" spans="1:10" s="197" customFormat="1" x14ac:dyDescent="0.2">
      <c r="A952" s="360"/>
      <c r="B952" s="361"/>
      <c r="C952" s="361"/>
      <c r="D952" s="361"/>
      <c r="E952" s="361"/>
      <c r="F952" s="361"/>
      <c r="G952" s="363"/>
      <c r="H952" s="364"/>
      <c r="I952" s="363"/>
      <c r="J952" s="363"/>
    </row>
    <row r="953" spans="1:10" s="197" customFormat="1" x14ac:dyDescent="0.2">
      <c r="A953" s="360"/>
      <c r="B953" s="361"/>
      <c r="C953" s="361"/>
      <c r="D953" s="361"/>
      <c r="E953" s="361"/>
      <c r="F953" s="361"/>
      <c r="G953" s="363"/>
      <c r="H953" s="364"/>
      <c r="I953" s="363"/>
      <c r="J953" s="363"/>
    </row>
    <row r="954" spans="1:10" s="197" customFormat="1" x14ac:dyDescent="0.2">
      <c r="A954" s="360"/>
      <c r="B954" s="361"/>
      <c r="C954" s="361"/>
      <c r="D954" s="361"/>
      <c r="E954" s="361"/>
      <c r="F954" s="361"/>
      <c r="G954" s="363"/>
      <c r="H954" s="364"/>
      <c r="I954" s="363"/>
      <c r="J954" s="363"/>
    </row>
    <row r="955" spans="1:10" s="197" customFormat="1" x14ac:dyDescent="0.2">
      <c r="A955" s="360"/>
      <c r="B955" s="361"/>
      <c r="C955" s="361"/>
      <c r="D955" s="361"/>
      <c r="E955" s="361"/>
      <c r="F955" s="361"/>
      <c r="G955" s="363"/>
      <c r="H955" s="364"/>
      <c r="I955" s="363"/>
      <c r="J955" s="363"/>
    </row>
    <row r="956" spans="1:10" s="197" customFormat="1" x14ac:dyDescent="0.2">
      <c r="A956" s="360"/>
      <c r="B956" s="361"/>
      <c r="C956" s="361"/>
      <c r="D956" s="361"/>
      <c r="E956" s="361"/>
      <c r="F956" s="361"/>
      <c r="G956" s="363"/>
      <c r="H956" s="364"/>
      <c r="I956" s="363"/>
      <c r="J956" s="363"/>
    </row>
    <row r="957" spans="1:10" s="197" customFormat="1" x14ac:dyDescent="0.2">
      <c r="A957" s="360"/>
      <c r="B957" s="361"/>
      <c r="C957" s="361"/>
      <c r="D957" s="361"/>
      <c r="E957" s="361"/>
      <c r="F957" s="361"/>
      <c r="G957" s="363"/>
      <c r="H957" s="364"/>
      <c r="I957" s="363"/>
      <c r="J957" s="363"/>
    </row>
    <row r="958" spans="1:10" s="197" customFormat="1" x14ac:dyDescent="0.2">
      <c r="A958" s="360"/>
      <c r="B958" s="361"/>
      <c r="C958" s="361"/>
      <c r="D958" s="361"/>
      <c r="E958" s="361"/>
      <c r="F958" s="361"/>
      <c r="G958" s="363"/>
      <c r="H958" s="364"/>
      <c r="I958" s="363"/>
      <c r="J958" s="363"/>
    </row>
    <row r="959" spans="1:10" s="197" customFormat="1" x14ac:dyDescent="0.2">
      <c r="A959" s="360"/>
      <c r="B959" s="361"/>
      <c r="C959" s="361"/>
      <c r="D959" s="361"/>
      <c r="E959" s="361"/>
      <c r="F959" s="361"/>
      <c r="G959" s="363"/>
      <c r="H959" s="364"/>
      <c r="I959" s="363"/>
      <c r="J959" s="363"/>
    </row>
    <row r="960" spans="1:10" s="197" customFormat="1" x14ac:dyDescent="0.2">
      <c r="A960" s="360"/>
      <c r="B960" s="361"/>
      <c r="C960" s="361"/>
      <c r="D960" s="361"/>
      <c r="E960" s="361"/>
      <c r="F960" s="361"/>
      <c r="G960" s="363"/>
      <c r="H960" s="364"/>
      <c r="I960" s="363"/>
      <c r="J960" s="363"/>
    </row>
    <row r="961" spans="1:10" s="197" customFormat="1" x14ac:dyDescent="0.2">
      <c r="A961" s="360"/>
      <c r="B961" s="361"/>
      <c r="C961" s="361"/>
      <c r="D961" s="361"/>
      <c r="E961" s="361"/>
      <c r="F961" s="361"/>
      <c r="G961" s="363"/>
      <c r="H961" s="364"/>
      <c r="I961" s="363"/>
      <c r="J961" s="363"/>
    </row>
    <row r="962" spans="1:10" s="197" customFormat="1" x14ac:dyDescent="0.2">
      <c r="A962" s="360"/>
      <c r="B962" s="361"/>
      <c r="C962" s="361"/>
      <c r="D962" s="361"/>
      <c r="E962" s="361"/>
      <c r="F962" s="361"/>
      <c r="G962" s="363"/>
      <c r="H962" s="364"/>
      <c r="I962" s="363"/>
      <c r="J962" s="363"/>
    </row>
    <row r="963" spans="1:10" s="197" customFormat="1" x14ac:dyDescent="0.2">
      <c r="A963" s="360"/>
      <c r="B963" s="361"/>
      <c r="C963" s="361"/>
      <c r="D963" s="361"/>
      <c r="E963" s="361"/>
      <c r="F963" s="361"/>
      <c r="G963" s="363"/>
      <c r="H963" s="364"/>
      <c r="I963" s="363"/>
      <c r="J963" s="363"/>
    </row>
    <row r="964" spans="1:10" s="197" customFormat="1" x14ac:dyDescent="0.2">
      <c r="A964" s="360"/>
      <c r="B964" s="361"/>
      <c r="C964" s="361"/>
      <c r="D964" s="361"/>
      <c r="E964" s="361"/>
      <c r="F964" s="361"/>
      <c r="G964" s="363"/>
      <c r="H964" s="364"/>
      <c r="I964" s="363"/>
      <c r="J964" s="363"/>
    </row>
    <row r="965" spans="1:10" s="197" customFormat="1" x14ac:dyDescent="0.2">
      <c r="A965" s="360"/>
      <c r="B965" s="361"/>
      <c r="C965" s="361"/>
      <c r="D965" s="361"/>
      <c r="E965" s="361"/>
      <c r="F965" s="361"/>
      <c r="G965" s="363"/>
      <c r="H965" s="364"/>
      <c r="I965" s="363"/>
      <c r="J965" s="363"/>
    </row>
    <row r="966" spans="1:10" s="197" customFormat="1" x14ac:dyDescent="0.2">
      <c r="A966" s="360"/>
      <c r="B966" s="361"/>
      <c r="C966" s="361"/>
      <c r="D966" s="361"/>
      <c r="E966" s="361"/>
      <c r="F966" s="361"/>
      <c r="G966" s="363"/>
      <c r="H966" s="364"/>
      <c r="I966" s="363"/>
      <c r="J966" s="363"/>
    </row>
    <row r="967" spans="1:10" s="197" customFormat="1" x14ac:dyDescent="0.2">
      <c r="A967" s="360"/>
      <c r="B967" s="361"/>
      <c r="C967" s="361"/>
      <c r="D967" s="361"/>
      <c r="E967" s="361"/>
      <c r="F967" s="361"/>
      <c r="G967" s="363"/>
      <c r="H967" s="364"/>
      <c r="I967" s="363"/>
      <c r="J967" s="363"/>
    </row>
    <row r="968" spans="1:10" s="197" customFormat="1" x14ac:dyDescent="0.2">
      <c r="A968" s="360"/>
      <c r="B968" s="361"/>
      <c r="C968" s="361"/>
      <c r="D968" s="361"/>
      <c r="E968" s="361"/>
      <c r="F968" s="361"/>
      <c r="G968" s="363"/>
      <c r="H968" s="364"/>
      <c r="I968" s="363"/>
      <c r="J968" s="363"/>
    </row>
    <row r="969" spans="1:10" s="197" customFormat="1" x14ac:dyDescent="0.2">
      <c r="A969" s="360"/>
      <c r="B969" s="361"/>
      <c r="C969" s="361"/>
      <c r="D969" s="361"/>
      <c r="E969" s="361"/>
      <c r="F969" s="361"/>
      <c r="G969" s="363"/>
      <c r="H969" s="364"/>
      <c r="I969" s="363"/>
      <c r="J969" s="363"/>
    </row>
    <row r="970" spans="1:10" s="197" customFormat="1" x14ac:dyDescent="0.2">
      <c r="A970" s="360"/>
      <c r="B970" s="361"/>
      <c r="C970" s="361"/>
      <c r="D970" s="361"/>
      <c r="E970" s="361"/>
      <c r="F970" s="361"/>
      <c r="G970" s="363"/>
      <c r="H970" s="364"/>
      <c r="I970" s="363"/>
      <c r="J970" s="363"/>
    </row>
    <row r="971" spans="1:10" s="197" customFormat="1" x14ac:dyDescent="0.2">
      <c r="A971" s="360"/>
      <c r="B971" s="361"/>
      <c r="C971" s="361"/>
      <c r="D971" s="361"/>
      <c r="E971" s="361"/>
      <c r="F971" s="361"/>
      <c r="G971" s="363"/>
      <c r="H971" s="364"/>
      <c r="I971" s="363"/>
      <c r="J971" s="363"/>
    </row>
    <row r="972" spans="1:10" s="197" customFormat="1" x14ac:dyDescent="0.2">
      <c r="A972" s="360"/>
      <c r="B972" s="361"/>
      <c r="C972" s="361"/>
      <c r="D972" s="361"/>
      <c r="E972" s="361"/>
      <c r="F972" s="361"/>
      <c r="G972" s="363"/>
      <c r="H972" s="364"/>
      <c r="I972" s="363"/>
      <c r="J972" s="363"/>
    </row>
    <row r="973" spans="1:10" s="197" customFormat="1" x14ac:dyDescent="0.2">
      <c r="A973" s="360"/>
      <c r="B973" s="361"/>
      <c r="C973" s="361"/>
      <c r="D973" s="361"/>
      <c r="E973" s="361"/>
      <c r="F973" s="361"/>
      <c r="G973" s="363"/>
      <c r="H973" s="364"/>
      <c r="I973" s="363"/>
      <c r="J973" s="363"/>
    </row>
    <row r="974" spans="1:10" s="197" customFormat="1" x14ac:dyDescent="0.2">
      <c r="A974" s="360"/>
      <c r="B974" s="361"/>
      <c r="C974" s="361"/>
      <c r="D974" s="361"/>
      <c r="E974" s="361"/>
      <c r="F974" s="361"/>
      <c r="G974" s="363"/>
      <c r="H974" s="364"/>
      <c r="I974" s="363"/>
      <c r="J974" s="363"/>
    </row>
    <row r="975" spans="1:10" s="197" customFormat="1" x14ac:dyDescent="0.2">
      <c r="A975" s="360"/>
      <c r="B975" s="361"/>
      <c r="C975" s="361"/>
      <c r="D975" s="361"/>
      <c r="E975" s="361"/>
      <c r="F975" s="361"/>
      <c r="G975" s="363"/>
      <c r="H975" s="364"/>
      <c r="I975" s="363"/>
      <c r="J975" s="363"/>
    </row>
    <row r="976" spans="1:10" s="197" customFormat="1" x14ac:dyDescent="0.2">
      <c r="A976" s="360"/>
      <c r="B976" s="361"/>
      <c r="C976" s="361"/>
      <c r="D976" s="361"/>
      <c r="E976" s="361"/>
      <c r="F976" s="361"/>
      <c r="G976" s="363"/>
      <c r="H976" s="364"/>
      <c r="I976" s="363"/>
      <c r="J976" s="363"/>
    </row>
    <row r="977" spans="1:10" s="197" customFormat="1" x14ac:dyDescent="0.2">
      <c r="A977" s="360"/>
      <c r="B977" s="361"/>
      <c r="C977" s="361"/>
      <c r="D977" s="361"/>
      <c r="E977" s="361"/>
      <c r="F977" s="361"/>
      <c r="G977" s="363"/>
      <c r="H977" s="364"/>
      <c r="I977" s="363"/>
      <c r="J977" s="363"/>
    </row>
    <row r="978" spans="1:10" s="197" customFormat="1" x14ac:dyDescent="0.2">
      <c r="A978" s="360"/>
      <c r="B978" s="361"/>
      <c r="C978" s="361"/>
      <c r="D978" s="361"/>
      <c r="E978" s="361"/>
      <c r="F978" s="361"/>
      <c r="G978" s="363"/>
      <c r="H978" s="364"/>
      <c r="I978" s="363"/>
      <c r="J978" s="363"/>
    </row>
    <row r="979" spans="1:10" s="197" customFormat="1" x14ac:dyDescent="0.2">
      <c r="A979" s="360"/>
      <c r="B979" s="361"/>
      <c r="C979" s="361"/>
      <c r="D979" s="361"/>
      <c r="E979" s="361"/>
      <c r="F979" s="361"/>
      <c r="G979" s="363"/>
      <c r="H979" s="364"/>
      <c r="I979" s="363"/>
      <c r="J979" s="363"/>
    </row>
    <row r="980" spans="1:10" s="197" customFormat="1" x14ac:dyDescent="0.2">
      <c r="A980" s="360"/>
      <c r="B980" s="361"/>
      <c r="C980" s="361"/>
      <c r="D980" s="361"/>
      <c r="E980" s="361"/>
      <c r="F980" s="361"/>
      <c r="G980" s="363"/>
      <c r="H980" s="364"/>
      <c r="I980" s="363"/>
      <c r="J980" s="363"/>
    </row>
    <row r="981" spans="1:10" s="197" customFormat="1" x14ac:dyDescent="0.2">
      <c r="A981" s="360"/>
      <c r="B981" s="361"/>
      <c r="C981" s="361"/>
      <c r="D981" s="361"/>
      <c r="E981" s="361"/>
      <c r="F981" s="361"/>
      <c r="G981" s="363"/>
      <c r="H981" s="364"/>
      <c r="I981" s="363"/>
      <c r="J981" s="363"/>
    </row>
    <row r="982" spans="1:10" s="197" customFormat="1" x14ac:dyDescent="0.2">
      <c r="A982" s="360"/>
      <c r="B982" s="361"/>
      <c r="C982" s="361"/>
      <c r="D982" s="361"/>
      <c r="E982" s="361"/>
      <c r="F982" s="361"/>
      <c r="G982" s="363"/>
      <c r="H982" s="364"/>
      <c r="I982" s="363"/>
      <c r="J982" s="363"/>
    </row>
    <row r="983" spans="1:10" s="197" customFormat="1" x14ac:dyDescent="0.2">
      <c r="A983" s="360"/>
      <c r="B983" s="361"/>
      <c r="C983" s="361"/>
      <c r="D983" s="361"/>
      <c r="E983" s="361"/>
      <c r="F983" s="361"/>
      <c r="G983" s="363"/>
      <c r="H983" s="364"/>
      <c r="I983" s="363"/>
      <c r="J983" s="363"/>
    </row>
    <row r="984" spans="1:10" s="197" customFormat="1" x14ac:dyDescent="0.2">
      <c r="A984" s="360"/>
      <c r="B984" s="361"/>
      <c r="C984" s="361"/>
      <c r="D984" s="361"/>
      <c r="E984" s="361"/>
      <c r="F984" s="361"/>
      <c r="G984" s="363"/>
      <c r="H984" s="364"/>
      <c r="I984" s="363"/>
      <c r="J984" s="363"/>
    </row>
    <row r="985" spans="1:10" s="197" customFormat="1" x14ac:dyDescent="0.2">
      <c r="A985" s="360"/>
      <c r="B985" s="361"/>
      <c r="C985" s="361"/>
      <c r="D985" s="361"/>
      <c r="E985" s="361"/>
      <c r="F985" s="361"/>
      <c r="G985" s="363"/>
      <c r="H985" s="364"/>
      <c r="I985" s="363"/>
      <c r="J985" s="363"/>
    </row>
    <row r="986" spans="1:10" s="197" customFormat="1" x14ac:dyDescent="0.2">
      <c r="A986" s="360"/>
      <c r="B986" s="361"/>
      <c r="C986" s="361"/>
      <c r="D986" s="361"/>
      <c r="E986" s="361"/>
      <c r="F986" s="361"/>
      <c r="G986" s="363"/>
      <c r="H986" s="364"/>
      <c r="I986" s="363"/>
      <c r="J986" s="363"/>
    </row>
    <row r="987" spans="1:10" s="197" customFormat="1" x14ac:dyDescent="0.2">
      <c r="A987" s="360"/>
      <c r="B987" s="361"/>
      <c r="C987" s="361"/>
      <c r="D987" s="361"/>
      <c r="E987" s="361"/>
      <c r="F987" s="361"/>
      <c r="G987" s="363"/>
      <c r="H987" s="364"/>
      <c r="I987" s="363"/>
      <c r="J987" s="363"/>
    </row>
    <row r="988" spans="1:10" s="197" customFormat="1" x14ac:dyDescent="0.2">
      <c r="A988" s="360"/>
      <c r="B988" s="361"/>
      <c r="C988" s="361"/>
      <c r="D988" s="361"/>
      <c r="E988" s="361"/>
      <c r="F988" s="361"/>
      <c r="G988" s="363"/>
      <c r="H988" s="364"/>
      <c r="I988" s="363"/>
      <c r="J988" s="363"/>
    </row>
    <row r="989" spans="1:10" s="197" customFormat="1" x14ac:dyDescent="0.2">
      <c r="A989" s="360"/>
      <c r="B989" s="361"/>
      <c r="C989" s="361"/>
      <c r="D989" s="361"/>
      <c r="E989" s="361"/>
      <c r="F989" s="361"/>
      <c r="G989" s="363"/>
      <c r="H989" s="364"/>
      <c r="I989" s="363"/>
      <c r="J989" s="363"/>
    </row>
    <row r="990" spans="1:10" s="197" customFormat="1" x14ac:dyDescent="0.2">
      <c r="A990" s="360"/>
      <c r="B990" s="361"/>
      <c r="C990" s="361"/>
      <c r="D990" s="361"/>
      <c r="E990" s="361"/>
      <c r="F990" s="361"/>
      <c r="G990" s="363"/>
      <c r="H990" s="364"/>
      <c r="I990" s="363"/>
      <c r="J990" s="363"/>
    </row>
    <row r="991" spans="1:10" s="197" customFormat="1" x14ac:dyDescent="0.2">
      <c r="A991" s="360"/>
      <c r="B991" s="361"/>
      <c r="C991" s="361"/>
      <c r="D991" s="361"/>
      <c r="E991" s="361"/>
      <c r="F991" s="361"/>
      <c r="G991" s="363"/>
      <c r="H991" s="364"/>
      <c r="I991" s="363"/>
      <c r="J991" s="363"/>
    </row>
    <row r="992" spans="1:10" s="197" customFormat="1" x14ac:dyDescent="0.2">
      <c r="A992" s="360"/>
      <c r="B992" s="361"/>
      <c r="C992" s="361"/>
      <c r="D992" s="361"/>
      <c r="E992" s="361"/>
      <c r="F992" s="361"/>
      <c r="G992" s="363"/>
      <c r="H992" s="364"/>
      <c r="I992" s="363"/>
      <c r="J992" s="363"/>
    </row>
    <row r="993" spans="1:10" s="197" customFormat="1" x14ac:dyDescent="0.2">
      <c r="A993" s="360"/>
      <c r="B993" s="361"/>
      <c r="C993" s="361"/>
      <c r="D993" s="361"/>
      <c r="E993" s="361"/>
      <c r="F993" s="361"/>
      <c r="G993" s="363"/>
      <c r="H993" s="364"/>
      <c r="I993" s="363"/>
      <c r="J993" s="363"/>
    </row>
    <row r="994" spans="1:10" s="197" customFormat="1" x14ac:dyDescent="0.2">
      <c r="A994" s="360"/>
      <c r="B994" s="361"/>
      <c r="C994" s="361"/>
      <c r="D994" s="361"/>
      <c r="E994" s="361"/>
      <c r="F994" s="361"/>
      <c r="G994" s="363"/>
      <c r="H994" s="364"/>
      <c r="I994" s="363"/>
      <c r="J994" s="363"/>
    </row>
    <row r="995" spans="1:10" s="197" customFormat="1" x14ac:dyDescent="0.2">
      <c r="A995" s="360"/>
      <c r="B995" s="361"/>
      <c r="C995" s="361"/>
      <c r="D995" s="361"/>
      <c r="E995" s="361"/>
      <c r="F995" s="361"/>
      <c r="G995" s="363"/>
      <c r="H995" s="364"/>
      <c r="I995" s="363"/>
      <c r="J995" s="363"/>
    </row>
    <row r="996" spans="1:10" s="197" customFormat="1" x14ac:dyDescent="0.2">
      <c r="A996" s="360"/>
      <c r="B996" s="361"/>
      <c r="C996" s="361"/>
      <c r="D996" s="361"/>
      <c r="E996" s="361"/>
      <c r="F996" s="361"/>
      <c r="G996" s="363"/>
      <c r="H996" s="364"/>
      <c r="I996" s="363"/>
      <c r="J996" s="363"/>
    </row>
    <row r="997" spans="1:10" s="197" customFormat="1" x14ac:dyDescent="0.2">
      <c r="A997" s="360"/>
      <c r="B997" s="361"/>
      <c r="C997" s="361"/>
      <c r="D997" s="361"/>
      <c r="E997" s="361"/>
      <c r="F997" s="361"/>
      <c r="G997" s="363"/>
      <c r="H997" s="364"/>
      <c r="I997" s="363"/>
      <c r="J997" s="363"/>
    </row>
    <row r="998" spans="1:10" s="197" customFormat="1" x14ac:dyDescent="0.2">
      <c r="A998" s="360"/>
      <c r="B998" s="361"/>
      <c r="C998" s="361"/>
      <c r="D998" s="361"/>
      <c r="E998" s="361"/>
      <c r="F998" s="361"/>
      <c r="G998" s="363"/>
      <c r="H998" s="364"/>
      <c r="I998" s="363"/>
      <c r="J998" s="363"/>
    </row>
    <row r="999" spans="1:10" s="197" customFormat="1" x14ac:dyDescent="0.2">
      <c r="A999" s="360"/>
      <c r="B999" s="361"/>
      <c r="C999" s="361"/>
      <c r="D999" s="361"/>
      <c r="E999" s="361"/>
      <c r="F999" s="361"/>
      <c r="G999" s="363"/>
      <c r="H999" s="364"/>
      <c r="I999" s="363"/>
      <c r="J999" s="363"/>
    </row>
    <row r="1000" spans="1:10" s="197" customFormat="1" x14ac:dyDescent="0.2">
      <c r="A1000" s="360"/>
      <c r="B1000" s="361"/>
      <c r="C1000" s="361"/>
      <c r="D1000" s="361"/>
      <c r="E1000" s="361"/>
      <c r="F1000" s="361"/>
      <c r="G1000" s="363"/>
      <c r="H1000" s="364"/>
      <c r="I1000" s="363"/>
      <c r="J1000" s="363"/>
    </row>
    <row r="1001" spans="1:10" s="197" customFormat="1" x14ac:dyDescent="0.2">
      <c r="A1001" s="360"/>
      <c r="B1001" s="361"/>
      <c r="C1001" s="361"/>
      <c r="D1001" s="361"/>
      <c r="E1001" s="361"/>
      <c r="F1001" s="361"/>
      <c r="G1001" s="363"/>
      <c r="H1001" s="364"/>
      <c r="I1001" s="363"/>
      <c r="J1001" s="363"/>
    </row>
    <row r="1002" spans="1:10" s="197" customFormat="1" x14ac:dyDescent="0.2">
      <c r="A1002" s="360"/>
      <c r="B1002" s="361"/>
      <c r="C1002" s="361"/>
      <c r="D1002" s="361"/>
      <c r="E1002" s="361"/>
      <c r="F1002" s="361"/>
      <c r="G1002" s="363"/>
      <c r="H1002" s="364"/>
      <c r="I1002" s="363"/>
      <c r="J1002" s="363"/>
    </row>
    <row r="1003" spans="1:10" s="197" customFormat="1" x14ac:dyDescent="0.2">
      <c r="A1003" s="360"/>
      <c r="B1003" s="361"/>
      <c r="C1003" s="361"/>
      <c r="D1003" s="361"/>
      <c r="E1003" s="361"/>
      <c r="F1003" s="361"/>
      <c r="G1003" s="363"/>
      <c r="H1003" s="364"/>
      <c r="I1003" s="363"/>
      <c r="J1003" s="363"/>
    </row>
    <row r="1004" spans="1:10" s="197" customFormat="1" x14ac:dyDescent="0.2">
      <c r="A1004" s="360"/>
      <c r="B1004" s="361"/>
      <c r="C1004" s="361"/>
      <c r="D1004" s="361"/>
      <c r="E1004" s="361"/>
      <c r="F1004" s="361"/>
      <c r="G1004" s="363"/>
      <c r="H1004" s="364"/>
      <c r="I1004" s="363"/>
      <c r="J1004" s="363"/>
    </row>
    <row r="1005" spans="1:10" s="197" customFormat="1" x14ac:dyDescent="0.2">
      <c r="A1005" s="360"/>
      <c r="B1005" s="361"/>
      <c r="C1005" s="361"/>
      <c r="D1005" s="361"/>
      <c r="E1005" s="361"/>
      <c r="F1005" s="361"/>
      <c r="G1005" s="363"/>
      <c r="H1005" s="364"/>
      <c r="I1005" s="363"/>
      <c r="J1005" s="363"/>
    </row>
    <row r="1006" spans="1:10" s="197" customFormat="1" x14ac:dyDescent="0.2">
      <c r="A1006" s="360"/>
      <c r="B1006" s="361"/>
      <c r="C1006" s="361"/>
      <c r="D1006" s="361"/>
      <c r="E1006" s="361"/>
      <c r="F1006" s="361"/>
      <c r="G1006" s="363"/>
      <c r="H1006" s="364"/>
      <c r="I1006" s="363"/>
      <c r="J1006" s="363"/>
    </row>
    <row r="1007" spans="1:10" s="197" customFormat="1" x14ac:dyDescent="0.2">
      <c r="A1007" s="360"/>
      <c r="B1007" s="361"/>
      <c r="C1007" s="361"/>
      <c r="D1007" s="361"/>
      <c r="E1007" s="361"/>
      <c r="F1007" s="361"/>
      <c r="G1007" s="363"/>
      <c r="H1007" s="364"/>
      <c r="I1007" s="363"/>
      <c r="J1007" s="363"/>
    </row>
    <row r="1008" spans="1:10" s="197" customFormat="1" x14ac:dyDescent="0.2">
      <c r="A1008" s="360"/>
      <c r="B1008" s="361"/>
      <c r="C1008" s="361"/>
      <c r="D1008" s="361"/>
      <c r="E1008" s="361"/>
      <c r="F1008" s="361"/>
      <c r="G1008" s="363"/>
      <c r="H1008" s="364"/>
      <c r="I1008" s="363"/>
      <c r="J1008" s="363"/>
    </row>
    <row r="1009" spans="1:10" s="197" customFormat="1" x14ac:dyDescent="0.2">
      <c r="A1009" s="360"/>
      <c r="B1009" s="361"/>
      <c r="C1009" s="361"/>
      <c r="D1009" s="361"/>
      <c r="E1009" s="361"/>
      <c r="F1009" s="361"/>
      <c r="G1009" s="363"/>
      <c r="H1009" s="364"/>
      <c r="I1009" s="363"/>
      <c r="J1009" s="363"/>
    </row>
    <row r="1010" spans="1:10" s="197" customFormat="1" x14ac:dyDescent="0.2">
      <c r="A1010" s="360"/>
      <c r="B1010" s="361"/>
      <c r="C1010" s="361"/>
      <c r="D1010" s="361"/>
      <c r="E1010" s="361"/>
      <c r="F1010" s="361"/>
      <c r="G1010" s="363"/>
      <c r="H1010" s="364"/>
      <c r="I1010" s="363"/>
      <c r="J1010" s="363"/>
    </row>
    <row r="1011" spans="1:10" s="197" customFormat="1" x14ac:dyDescent="0.2">
      <c r="A1011" s="360"/>
      <c r="B1011" s="361"/>
      <c r="C1011" s="361"/>
      <c r="D1011" s="361"/>
      <c r="E1011" s="361"/>
      <c r="F1011" s="361"/>
      <c r="G1011" s="363"/>
      <c r="H1011" s="364"/>
      <c r="I1011" s="363"/>
      <c r="J1011" s="363"/>
    </row>
    <row r="1012" spans="1:10" s="197" customFormat="1" x14ac:dyDescent="0.2">
      <c r="A1012" s="360"/>
      <c r="B1012" s="361"/>
      <c r="C1012" s="361"/>
      <c r="D1012" s="361"/>
      <c r="E1012" s="361"/>
      <c r="F1012" s="361"/>
      <c r="G1012" s="363"/>
      <c r="H1012" s="364"/>
      <c r="I1012" s="363"/>
      <c r="J1012" s="363"/>
    </row>
    <row r="1013" spans="1:10" s="197" customFormat="1" x14ac:dyDescent="0.2">
      <c r="A1013" s="360"/>
      <c r="B1013" s="361"/>
      <c r="C1013" s="361"/>
      <c r="D1013" s="361"/>
      <c r="E1013" s="361"/>
      <c r="F1013" s="361"/>
      <c r="G1013" s="363"/>
      <c r="H1013" s="364"/>
      <c r="I1013" s="363"/>
      <c r="J1013" s="363"/>
    </row>
    <row r="1014" spans="1:10" s="197" customFormat="1" x14ac:dyDescent="0.2">
      <c r="A1014" s="360"/>
      <c r="B1014" s="361"/>
      <c r="C1014" s="361"/>
      <c r="D1014" s="361"/>
      <c r="E1014" s="361"/>
      <c r="F1014" s="361"/>
      <c r="G1014" s="363"/>
      <c r="H1014" s="364"/>
      <c r="I1014" s="363"/>
      <c r="J1014" s="363"/>
    </row>
    <row r="1015" spans="1:10" s="197" customFormat="1" x14ac:dyDescent="0.2">
      <c r="A1015" s="360"/>
      <c r="B1015" s="361"/>
      <c r="C1015" s="361"/>
      <c r="D1015" s="361"/>
      <c r="E1015" s="361"/>
      <c r="F1015" s="361"/>
      <c r="G1015" s="363"/>
      <c r="H1015" s="364"/>
      <c r="I1015" s="363"/>
      <c r="J1015" s="363"/>
    </row>
    <row r="1016" spans="1:10" s="197" customFormat="1" x14ac:dyDescent="0.2">
      <c r="A1016" s="360"/>
      <c r="B1016" s="361"/>
      <c r="C1016" s="361"/>
      <c r="D1016" s="361"/>
      <c r="E1016" s="361"/>
      <c r="F1016" s="361"/>
      <c r="G1016" s="363"/>
      <c r="H1016" s="364"/>
      <c r="I1016" s="363"/>
      <c r="J1016" s="363"/>
    </row>
    <row r="1017" spans="1:10" s="197" customFormat="1" x14ac:dyDescent="0.2">
      <c r="A1017" s="360"/>
      <c r="B1017" s="361"/>
      <c r="C1017" s="361"/>
      <c r="D1017" s="361"/>
      <c r="E1017" s="361"/>
      <c r="F1017" s="361"/>
      <c r="G1017" s="363"/>
      <c r="H1017" s="364"/>
      <c r="I1017" s="363"/>
      <c r="J1017" s="363"/>
    </row>
    <row r="1018" spans="1:10" s="197" customFormat="1" x14ac:dyDescent="0.2">
      <c r="A1018" s="360"/>
      <c r="B1018" s="361"/>
      <c r="C1018" s="361"/>
      <c r="D1018" s="361"/>
      <c r="E1018" s="361"/>
      <c r="F1018" s="361"/>
      <c r="G1018" s="363"/>
      <c r="H1018" s="364"/>
      <c r="I1018" s="363"/>
      <c r="J1018" s="363"/>
    </row>
    <row r="1019" spans="1:10" s="197" customFormat="1" x14ac:dyDescent="0.2">
      <c r="A1019" s="360"/>
      <c r="B1019" s="361"/>
      <c r="C1019" s="361"/>
      <c r="D1019" s="361"/>
      <c r="E1019" s="361"/>
      <c r="F1019" s="361"/>
      <c r="G1019" s="363"/>
      <c r="H1019" s="364"/>
      <c r="I1019" s="363"/>
      <c r="J1019" s="363"/>
    </row>
    <row r="1020" spans="1:10" s="197" customFormat="1" x14ac:dyDescent="0.2">
      <c r="A1020" s="360"/>
      <c r="B1020" s="361"/>
      <c r="C1020" s="361"/>
      <c r="D1020" s="361"/>
      <c r="E1020" s="361"/>
      <c r="F1020" s="361"/>
      <c r="G1020" s="363"/>
      <c r="H1020" s="364"/>
      <c r="I1020" s="363"/>
      <c r="J1020" s="363"/>
    </row>
    <row r="1021" spans="1:10" s="197" customFormat="1" x14ac:dyDescent="0.2">
      <c r="A1021" s="360"/>
      <c r="B1021" s="361"/>
      <c r="C1021" s="361"/>
      <c r="D1021" s="361"/>
      <c r="E1021" s="361"/>
      <c r="F1021" s="361"/>
      <c r="G1021" s="363"/>
      <c r="H1021" s="364"/>
      <c r="I1021" s="363"/>
      <c r="J1021" s="363"/>
    </row>
    <row r="1022" spans="1:10" s="197" customFormat="1" x14ac:dyDescent="0.2">
      <c r="A1022" s="360"/>
      <c r="B1022" s="361"/>
      <c r="C1022" s="361"/>
      <c r="D1022" s="361"/>
      <c r="E1022" s="361"/>
      <c r="F1022" s="361"/>
      <c r="G1022" s="363"/>
      <c r="H1022" s="364"/>
      <c r="I1022" s="363"/>
      <c r="J1022" s="363"/>
    </row>
    <row r="1023" spans="1:10" s="197" customFormat="1" x14ac:dyDescent="0.2">
      <c r="A1023" s="360"/>
      <c r="B1023" s="361"/>
      <c r="C1023" s="361"/>
      <c r="D1023" s="361"/>
      <c r="E1023" s="361"/>
      <c r="F1023" s="361"/>
      <c r="G1023" s="363"/>
      <c r="H1023" s="364"/>
      <c r="I1023" s="363"/>
      <c r="J1023" s="363"/>
    </row>
    <row r="1024" spans="1:10" s="197" customFormat="1" x14ac:dyDescent="0.2">
      <c r="A1024" s="360"/>
      <c r="B1024" s="361"/>
      <c r="C1024" s="361"/>
      <c r="D1024" s="361"/>
      <c r="E1024" s="361"/>
      <c r="F1024" s="361"/>
      <c r="G1024" s="363"/>
      <c r="H1024" s="364"/>
      <c r="I1024" s="363"/>
      <c r="J1024" s="363"/>
    </row>
    <row r="1025" spans="1:10" s="197" customFormat="1" x14ac:dyDescent="0.2">
      <c r="A1025" s="360"/>
      <c r="B1025" s="361"/>
      <c r="C1025" s="361"/>
      <c r="D1025" s="361"/>
      <c r="E1025" s="361"/>
      <c r="F1025" s="361"/>
      <c r="G1025" s="363"/>
      <c r="H1025" s="364"/>
      <c r="I1025" s="363"/>
      <c r="J1025" s="363"/>
    </row>
    <row r="1026" spans="1:10" s="197" customFormat="1" x14ac:dyDescent="0.2">
      <c r="A1026" s="360"/>
      <c r="B1026" s="361"/>
      <c r="C1026" s="361"/>
      <c r="D1026" s="361"/>
      <c r="E1026" s="361"/>
      <c r="F1026" s="361"/>
      <c r="G1026" s="363"/>
      <c r="H1026" s="364"/>
      <c r="I1026" s="363"/>
      <c r="J1026" s="363"/>
    </row>
    <row r="1027" spans="1:10" s="197" customFormat="1" x14ac:dyDescent="0.2">
      <c r="A1027" s="360"/>
      <c r="B1027" s="361"/>
      <c r="C1027" s="361"/>
      <c r="D1027" s="361"/>
      <c r="E1027" s="361"/>
      <c r="F1027" s="361"/>
      <c r="G1027" s="363"/>
      <c r="H1027" s="364"/>
      <c r="I1027" s="363"/>
      <c r="J1027" s="363"/>
    </row>
    <row r="1028" spans="1:10" s="197" customFormat="1" x14ac:dyDescent="0.2">
      <c r="A1028" s="360"/>
      <c r="B1028" s="361"/>
      <c r="C1028" s="361"/>
      <c r="D1028" s="361"/>
      <c r="E1028" s="361"/>
      <c r="F1028" s="361"/>
      <c r="G1028" s="363"/>
      <c r="H1028" s="364"/>
      <c r="I1028" s="363"/>
      <c r="J1028" s="363"/>
    </row>
    <row r="1029" spans="1:10" s="197" customFormat="1" x14ac:dyDescent="0.2">
      <c r="A1029" s="360"/>
      <c r="B1029" s="361"/>
      <c r="C1029" s="361"/>
      <c r="D1029" s="361"/>
      <c r="E1029" s="361"/>
      <c r="F1029" s="361"/>
      <c r="G1029" s="363"/>
      <c r="H1029" s="364"/>
      <c r="I1029" s="363"/>
      <c r="J1029" s="363"/>
    </row>
    <row r="1030" spans="1:10" s="197" customFormat="1" x14ac:dyDescent="0.2">
      <c r="A1030" s="360"/>
      <c r="B1030" s="361"/>
      <c r="C1030" s="361"/>
      <c r="D1030" s="361"/>
      <c r="E1030" s="361"/>
      <c r="F1030" s="361"/>
      <c r="G1030" s="363"/>
      <c r="H1030" s="364"/>
      <c r="I1030" s="363"/>
      <c r="J1030" s="363"/>
    </row>
    <row r="1031" spans="1:10" s="197" customFormat="1" x14ac:dyDescent="0.2">
      <c r="A1031" s="360"/>
      <c r="B1031" s="361"/>
      <c r="C1031" s="361"/>
      <c r="D1031" s="361"/>
      <c r="E1031" s="361"/>
      <c r="F1031" s="361"/>
      <c r="G1031" s="363"/>
      <c r="H1031" s="364"/>
      <c r="I1031" s="363"/>
      <c r="J1031" s="363"/>
    </row>
    <row r="1032" spans="1:10" s="197" customFormat="1" x14ac:dyDescent="0.2">
      <c r="A1032" s="360"/>
      <c r="B1032" s="361"/>
      <c r="C1032" s="361"/>
      <c r="D1032" s="361"/>
      <c r="E1032" s="361"/>
      <c r="F1032" s="361"/>
      <c r="G1032" s="363"/>
      <c r="H1032" s="364"/>
      <c r="I1032" s="363"/>
      <c r="J1032" s="363"/>
    </row>
    <row r="1033" spans="1:10" s="197" customFormat="1" x14ac:dyDescent="0.2">
      <c r="A1033" s="360"/>
      <c r="B1033" s="361"/>
      <c r="C1033" s="361"/>
      <c r="D1033" s="361"/>
      <c r="E1033" s="361"/>
      <c r="F1033" s="361"/>
      <c r="G1033" s="363"/>
      <c r="H1033" s="364"/>
      <c r="I1033" s="363"/>
      <c r="J1033" s="363"/>
    </row>
    <row r="1034" spans="1:10" s="197" customFormat="1" x14ac:dyDescent="0.2">
      <c r="A1034" s="360"/>
      <c r="B1034" s="361"/>
      <c r="C1034" s="361"/>
      <c r="D1034" s="361"/>
      <c r="E1034" s="361"/>
      <c r="F1034" s="361"/>
      <c r="G1034" s="363"/>
      <c r="H1034" s="364"/>
      <c r="I1034" s="363"/>
      <c r="J1034" s="363"/>
    </row>
    <row r="1035" spans="1:10" s="197" customFormat="1" x14ac:dyDescent="0.2">
      <c r="A1035" s="360"/>
      <c r="B1035" s="361"/>
      <c r="C1035" s="361"/>
      <c r="D1035" s="361"/>
      <c r="E1035" s="361"/>
      <c r="F1035" s="361"/>
      <c r="G1035" s="363"/>
      <c r="H1035" s="364"/>
      <c r="I1035" s="363"/>
      <c r="J1035" s="363"/>
    </row>
    <row r="1036" spans="1:10" s="197" customFormat="1" x14ac:dyDescent="0.2">
      <c r="A1036" s="360"/>
      <c r="B1036" s="361"/>
      <c r="C1036" s="361"/>
      <c r="D1036" s="361"/>
      <c r="E1036" s="361"/>
      <c r="F1036" s="361"/>
      <c r="G1036" s="363"/>
      <c r="H1036" s="364"/>
      <c r="I1036" s="363"/>
      <c r="J1036" s="363"/>
    </row>
    <row r="1037" spans="1:10" s="197" customFormat="1" x14ac:dyDescent="0.2">
      <c r="A1037" s="360"/>
      <c r="B1037" s="361"/>
      <c r="C1037" s="361"/>
      <c r="D1037" s="361"/>
      <c r="E1037" s="361"/>
      <c r="F1037" s="361"/>
      <c r="G1037" s="363"/>
      <c r="H1037" s="364"/>
      <c r="I1037" s="363"/>
      <c r="J1037" s="363"/>
    </row>
    <row r="1038" spans="1:10" s="197" customFormat="1" x14ac:dyDescent="0.2">
      <c r="A1038" s="360"/>
      <c r="B1038" s="361"/>
      <c r="C1038" s="361"/>
      <c r="D1038" s="361"/>
      <c r="E1038" s="361"/>
      <c r="F1038" s="361"/>
      <c r="G1038" s="363"/>
      <c r="H1038" s="364"/>
      <c r="I1038" s="363"/>
      <c r="J1038" s="363"/>
    </row>
    <row r="1039" spans="1:10" s="197" customFormat="1" x14ac:dyDescent="0.2">
      <c r="A1039" s="360"/>
      <c r="B1039" s="361"/>
      <c r="C1039" s="361"/>
      <c r="D1039" s="361"/>
      <c r="E1039" s="361"/>
      <c r="F1039" s="361"/>
      <c r="G1039" s="363"/>
      <c r="H1039" s="364"/>
      <c r="I1039" s="363"/>
      <c r="J1039" s="363"/>
    </row>
    <row r="1040" spans="1:10" s="197" customFormat="1" x14ac:dyDescent="0.2">
      <c r="A1040" s="360"/>
      <c r="B1040" s="361"/>
      <c r="C1040" s="361"/>
      <c r="D1040" s="361"/>
      <c r="E1040" s="361"/>
      <c r="F1040" s="361"/>
      <c r="G1040" s="363"/>
      <c r="H1040" s="364"/>
      <c r="I1040" s="363"/>
      <c r="J1040" s="363"/>
    </row>
    <row r="1041" spans="1:10" s="197" customFormat="1" x14ac:dyDescent="0.2">
      <c r="A1041" s="360"/>
      <c r="B1041" s="361"/>
      <c r="C1041" s="361"/>
      <c r="D1041" s="361"/>
      <c r="E1041" s="361"/>
      <c r="F1041" s="361"/>
      <c r="G1041" s="363"/>
      <c r="H1041" s="364"/>
      <c r="I1041" s="363"/>
      <c r="J1041" s="363"/>
    </row>
    <row r="1042" spans="1:10" s="197" customFormat="1" x14ac:dyDescent="0.2">
      <c r="A1042" s="360"/>
      <c r="B1042" s="361"/>
      <c r="C1042" s="361"/>
      <c r="D1042" s="361"/>
      <c r="E1042" s="361"/>
      <c r="F1042" s="361"/>
      <c r="G1042" s="363"/>
      <c r="H1042" s="364"/>
      <c r="I1042" s="363"/>
      <c r="J1042" s="363"/>
    </row>
    <row r="1043" spans="1:10" s="197" customFormat="1" x14ac:dyDescent="0.2">
      <c r="A1043" s="360"/>
      <c r="B1043" s="361"/>
      <c r="C1043" s="361"/>
      <c r="D1043" s="361"/>
      <c r="E1043" s="361"/>
      <c r="F1043" s="361"/>
      <c r="G1043" s="363"/>
      <c r="H1043" s="364"/>
      <c r="I1043" s="363"/>
      <c r="J1043" s="363"/>
    </row>
    <row r="1044" spans="1:10" s="197" customFormat="1" x14ac:dyDescent="0.2">
      <c r="A1044" s="360"/>
      <c r="B1044" s="361"/>
      <c r="C1044" s="361"/>
      <c r="D1044" s="361"/>
      <c r="E1044" s="361"/>
      <c r="F1044" s="361"/>
      <c r="G1044" s="363"/>
      <c r="H1044" s="364"/>
      <c r="I1044" s="363"/>
      <c r="J1044" s="363"/>
    </row>
    <row r="1045" spans="1:10" s="197" customFormat="1" x14ac:dyDescent="0.2">
      <c r="A1045" s="360"/>
      <c r="B1045" s="361"/>
      <c r="C1045" s="361"/>
      <c r="D1045" s="361"/>
      <c r="E1045" s="361"/>
      <c r="F1045" s="361"/>
      <c r="G1045" s="363"/>
      <c r="H1045" s="364"/>
      <c r="I1045" s="363"/>
      <c r="J1045" s="363"/>
    </row>
    <row r="1046" spans="1:10" s="197" customFormat="1" x14ac:dyDescent="0.2">
      <c r="A1046" s="360"/>
      <c r="B1046" s="361"/>
      <c r="C1046" s="361"/>
      <c r="D1046" s="361"/>
      <c r="E1046" s="361"/>
      <c r="F1046" s="361"/>
      <c r="G1046" s="363"/>
      <c r="H1046" s="364"/>
      <c r="I1046" s="363"/>
      <c r="J1046" s="363"/>
    </row>
    <row r="1047" spans="1:10" s="197" customFormat="1" x14ac:dyDescent="0.2">
      <c r="A1047" s="360"/>
      <c r="B1047" s="361"/>
      <c r="C1047" s="361"/>
      <c r="D1047" s="361"/>
      <c r="E1047" s="361"/>
      <c r="F1047" s="361"/>
      <c r="G1047" s="363"/>
      <c r="H1047" s="364"/>
      <c r="I1047" s="363"/>
      <c r="J1047" s="363"/>
    </row>
    <row r="1048" spans="1:10" s="197" customFormat="1" x14ac:dyDescent="0.2">
      <c r="A1048" s="360"/>
      <c r="B1048" s="361"/>
      <c r="C1048" s="361"/>
      <c r="D1048" s="361"/>
      <c r="E1048" s="361"/>
      <c r="F1048" s="361"/>
      <c r="G1048" s="363"/>
      <c r="H1048" s="364"/>
      <c r="I1048" s="363"/>
      <c r="J1048" s="363"/>
    </row>
    <row r="1049" spans="1:10" s="197" customFormat="1" x14ac:dyDescent="0.2">
      <c r="A1049" s="360"/>
      <c r="B1049" s="361"/>
      <c r="C1049" s="361"/>
      <c r="D1049" s="361"/>
      <c r="E1049" s="361"/>
      <c r="F1049" s="361"/>
      <c r="G1049" s="363"/>
      <c r="H1049" s="364"/>
      <c r="I1049" s="363"/>
      <c r="J1049" s="363"/>
    </row>
    <row r="1050" spans="1:10" s="197" customFormat="1" x14ac:dyDescent="0.2">
      <c r="A1050" s="360"/>
      <c r="B1050" s="361"/>
      <c r="C1050" s="361"/>
      <c r="D1050" s="361"/>
      <c r="E1050" s="361"/>
      <c r="F1050" s="361"/>
      <c r="G1050" s="363"/>
      <c r="H1050" s="364"/>
      <c r="I1050" s="363"/>
      <c r="J1050" s="363"/>
    </row>
    <row r="1051" spans="1:10" s="197" customFormat="1" x14ac:dyDescent="0.2">
      <c r="A1051" s="360"/>
      <c r="B1051" s="361"/>
      <c r="C1051" s="361"/>
      <c r="D1051" s="361"/>
      <c r="E1051" s="361"/>
      <c r="F1051" s="361"/>
      <c r="G1051" s="363"/>
      <c r="H1051" s="364"/>
      <c r="I1051" s="363"/>
      <c r="J1051" s="363"/>
    </row>
    <row r="1052" spans="1:10" s="197" customFormat="1" x14ac:dyDescent="0.2">
      <c r="A1052" s="360"/>
      <c r="B1052" s="361"/>
      <c r="C1052" s="361"/>
      <c r="D1052" s="361"/>
      <c r="E1052" s="361"/>
      <c r="F1052" s="361"/>
      <c r="G1052" s="363"/>
      <c r="H1052" s="364"/>
      <c r="I1052" s="363"/>
      <c r="J1052" s="363"/>
    </row>
    <row r="1053" spans="1:10" s="197" customFormat="1" x14ac:dyDescent="0.2">
      <c r="A1053" s="360"/>
      <c r="B1053" s="361"/>
      <c r="C1053" s="361"/>
      <c r="D1053" s="361"/>
      <c r="E1053" s="361"/>
      <c r="F1053" s="361"/>
      <c r="G1053" s="363"/>
      <c r="H1053" s="364"/>
      <c r="I1053" s="363"/>
      <c r="J1053" s="363"/>
    </row>
    <row r="1054" spans="1:10" s="197" customFormat="1" x14ac:dyDescent="0.2">
      <c r="A1054" s="360"/>
      <c r="B1054" s="361"/>
      <c r="C1054" s="361"/>
      <c r="D1054" s="361"/>
      <c r="E1054" s="361"/>
      <c r="F1054" s="361"/>
      <c r="G1054" s="363"/>
      <c r="H1054" s="364"/>
      <c r="I1054" s="363"/>
      <c r="J1054" s="363"/>
    </row>
    <row r="1055" spans="1:10" s="197" customFormat="1" x14ac:dyDescent="0.2">
      <c r="A1055" s="360"/>
      <c r="B1055" s="361"/>
      <c r="C1055" s="361"/>
      <c r="D1055" s="361"/>
      <c r="E1055" s="361"/>
      <c r="F1055" s="361"/>
      <c r="G1055" s="363"/>
      <c r="H1055" s="364"/>
      <c r="I1055" s="363"/>
      <c r="J1055" s="363"/>
    </row>
    <row r="1056" spans="1:10" s="197" customFormat="1" x14ac:dyDescent="0.2">
      <c r="A1056" s="360"/>
      <c r="B1056" s="361"/>
      <c r="C1056" s="361"/>
      <c r="D1056" s="361"/>
      <c r="E1056" s="361"/>
      <c r="F1056" s="361"/>
      <c r="G1056" s="363"/>
      <c r="H1056" s="364"/>
      <c r="I1056" s="363"/>
      <c r="J1056" s="363"/>
    </row>
    <row r="1057" spans="1:10" s="197" customFormat="1" x14ac:dyDescent="0.2">
      <c r="A1057" s="360"/>
      <c r="B1057" s="361"/>
      <c r="C1057" s="361"/>
      <c r="D1057" s="361"/>
      <c r="E1057" s="361"/>
      <c r="F1057" s="361"/>
      <c r="G1057" s="363"/>
      <c r="H1057" s="364"/>
      <c r="I1057" s="363"/>
      <c r="J1057" s="363"/>
    </row>
    <row r="1058" spans="1:10" s="197" customFormat="1" x14ac:dyDescent="0.2">
      <c r="A1058" s="360"/>
      <c r="B1058" s="361"/>
      <c r="C1058" s="361"/>
      <c r="D1058" s="361"/>
      <c r="E1058" s="361"/>
      <c r="F1058" s="361"/>
      <c r="G1058" s="363"/>
      <c r="H1058" s="364"/>
      <c r="I1058" s="363"/>
      <c r="J1058" s="363"/>
    </row>
    <row r="1059" spans="1:10" s="197" customFormat="1" x14ac:dyDescent="0.2">
      <c r="A1059" s="360"/>
      <c r="B1059" s="361"/>
      <c r="C1059" s="361"/>
      <c r="D1059" s="361"/>
      <c r="E1059" s="361"/>
      <c r="F1059" s="361"/>
      <c r="G1059" s="363"/>
      <c r="H1059" s="364"/>
      <c r="I1059" s="363"/>
      <c r="J1059" s="363"/>
    </row>
    <row r="1060" spans="1:10" s="197" customFormat="1" x14ac:dyDescent="0.2">
      <c r="A1060" s="360"/>
      <c r="B1060" s="361"/>
      <c r="C1060" s="361"/>
      <c r="D1060" s="361"/>
      <c r="E1060" s="361"/>
      <c r="F1060" s="361"/>
      <c r="G1060" s="363"/>
      <c r="H1060" s="364"/>
      <c r="I1060" s="363"/>
      <c r="J1060" s="363"/>
    </row>
    <row r="1061" spans="1:10" s="197" customFormat="1" x14ac:dyDescent="0.2">
      <c r="A1061" s="360"/>
      <c r="B1061" s="361"/>
      <c r="C1061" s="361"/>
      <c r="D1061" s="361"/>
      <c r="E1061" s="361"/>
      <c r="F1061" s="361"/>
      <c r="G1061" s="363"/>
      <c r="H1061" s="364"/>
      <c r="I1061" s="363"/>
      <c r="J1061" s="363"/>
    </row>
    <row r="1062" spans="1:10" s="197" customFormat="1" x14ac:dyDescent="0.2">
      <c r="A1062" s="360"/>
      <c r="B1062" s="361"/>
      <c r="C1062" s="361"/>
      <c r="D1062" s="361"/>
      <c r="E1062" s="361"/>
      <c r="F1062" s="361"/>
      <c r="G1062" s="363"/>
      <c r="H1062" s="364"/>
      <c r="I1062" s="363"/>
      <c r="J1062" s="363"/>
    </row>
    <row r="1063" spans="1:10" s="197" customFormat="1" x14ac:dyDescent="0.2">
      <c r="A1063" s="360"/>
      <c r="B1063" s="361"/>
      <c r="C1063" s="361"/>
      <c r="D1063" s="361"/>
      <c r="E1063" s="361"/>
      <c r="F1063" s="361"/>
      <c r="G1063" s="363"/>
      <c r="H1063" s="364"/>
      <c r="I1063" s="363"/>
      <c r="J1063" s="363"/>
    </row>
    <row r="1064" spans="1:10" s="197" customFormat="1" x14ac:dyDescent="0.2">
      <c r="A1064" s="360"/>
      <c r="B1064" s="361"/>
      <c r="C1064" s="361"/>
      <c r="D1064" s="361"/>
      <c r="E1064" s="361"/>
      <c r="F1064" s="361"/>
      <c r="G1064" s="363"/>
      <c r="H1064" s="364"/>
      <c r="I1064" s="363"/>
      <c r="J1064" s="363"/>
    </row>
    <row r="1065" spans="1:10" s="197" customFormat="1" x14ac:dyDescent="0.2">
      <c r="A1065" s="360"/>
      <c r="B1065" s="361"/>
      <c r="C1065" s="361"/>
      <c r="D1065" s="361"/>
      <c r="E1065" s="361"/>
      <c r="F1065" s="361"/>
      <c r="G1065" s="363"/>
      <c r="H1065" s="364"/>
      <c r="I1065" s="363"/>
      <c r="J1065" s="363"/>
    </row>
    <row r="1066" spans="1:10" s="197" customFormat="1" x14ac:dyDescent="0.2">
      <c r="A1066" s="360"/>
      <c r="B1066" s="361"/>
      <c r="C1066" s="361"/>
      <c r="D1066" s="361"/>
      <c r="E1066" s="361"/>
      <c r="F1066" s="361"/>
      <c r="G1066" s="363"/>
      <c r="H1066" s="364"/>
      <c r="I1066" s="363"/>
      <c r="J1066" s="363"/>
    </row>
    <row r="1067" spans="1:10" s="197" customFormat="1" x14ac:dyDescent="0.2">
      <c r="A1067" s="360"/>
      <c r="B1067" s="361"/>
      <c r="C1067" s="361"/>
      <c r="D1067" s="361"/>
      <c r="E1067" s="361"/>
      <c r="F1067" s="361"/>
      <c r="G1067" s="363"/>
      <c r="H1067" s="364"/>
      <c r="I1067" s="363"/>
      <c r="J1067" s="363"/>
    </row>
    <row r="1068" spans="1:10" s="197" customFormat="1" x14ac:dyDescent="0.2">
      <c r="A1068" s="360"/>
      <c r="B1068" s="361"/>
      <c r="C1068" s="361"/>
      <c r="D1068" s="361"/>
      <c r="E1068" s="361"/>
      <c r="F1068" s="361"/>
      <c r="G1068" s="363"/>
      <c r="H1068" s="364"/>
      <c r="I1068" s="363"/>
      <c r="J1068" s="363"/>
    </row>
    <row r="1069" spans="1:10" s="197" customFormat="1" x14ac:dyDescent="0.2">
      <c r="A1069" s="360"/>
      <c r="B1069" s="361"/>
      <c r="C1069" s="361"/>
      <c r="D1069" s="361"/>
      <c r="E1069" s="361"/>
      <c r="F1069" s="361"/>
      <c r="G1069" s="363"/>
      <c r="H1069" s="364"/>
      <c r="I1069" s="363"/>
      <c r="J1069" s="363"/>
    </row>
    <row r="1070" spans="1:10" s="197" customFormat="1" x14ac:dyDescent="0.2">
      <c r="A1070" s="360"/>
      <c r="B1070" s="361"/>
      <c r="C1070" s="361"/>
      <c r="D1070" s="361"/>
      <c r="E1070" s="361"/>
      <c r="F1070" s="361"/>
      <c r="G1070" s="363"/>
      <c r="H1070" s="364"/>
      <c r="I1070" s="363"/>
      <c r="J1070" s="363"/>
    </row>
    <row r="1071" spans="1:10" s="197" customFormat="1" x14ac:dyDescent="0.2">
      <c r="A1071" s="360"/>
      <c r="B1071" s="361"/>
      <c r="C1071" s="361"/>
      <c r="D1071" s="361"/>
      <c r="E1071" s="361"/>
      <c r="F1071" s="361"/>
      <c r="G1071" s="363"/>
      <c r="H1071" s="364"/>
      <c r="I1071" s="363"/>
      <c r="J1071" s="363"/>
    </row>
    <row r="1072" spans="1:10" s="197" customFormat="1" x14ac:dyDescent="0.2">
      <c r="A1072" s="360"/>
      <c r="B1072" s="361"/>
      <c r="C1072" s="361"/>
      <c r="D1072" s="361"/>
      <c r="E1072" s="361"/>
      <c r="F1072" s="361"/>
      <c r="G1072" s="363"/>
      <c r="H1072" s="364"/>
      <c r="I1072" s="363"/>
      <c r="J1072" s="363"/>
    </row>
    <row r="1073" spans="1:10" s="197" customFormat="1" x14ac:dyDescent="0.2">
      <c r="A1073" s="360"/>
      <c r="B1073" s="361"/>
      <c r="C1073" s="361"/>
      <c r="D1073" s="361"/>
      <c r="E1073" s="361"/>
      <c r="F1073" s="361"/>
      <c r="G1073" s="363"/>
      <c r="H1073" s="364"/>
      <c r="I1073" s="363"/>
      <c r="J1073" s="363"/>
    </row>
    <row r="1074" spans="1:10" s="197" customFormat="1" x14ac:dyDescent="0.2">
      <c r="A1074" s="360"/>
      <c r="B1074" s="361"/>
      <c r="C1074" s="361"/>
      <c r="D1074" s="361"/>
      <c r="E1074" s="361"/>
      <c r="F1074" s="361"/>
      <c r="G1074" s="363"/>
      <c r="H1074" s="364"/>
      <c r="I1074" s="363"/>
      <c r="J1074" s="363"/>
    </row>
    <row r="1075" spans="1:10" s="197" customFormat="1" x14ac:dyDescent="0.2">
      <c r="A1075" s="360"/>
      <c r="B1075" s="361"/>
      <c r="C1075" s="361"/>
      <c r="D1075" s="361"/>
      <c r="E1075" s="361"/>
      <c r="F1075" s="361"/>
      <c r="G1075" s="363"/>
      <c r="H1075" s="364"/>
      <c r="I1075" s="363"/>
      <c r="J1075" s="363"/>
    </row>
    <row r="1076" spans="1:10" s="197" customFormat="1" x14ac:dyDescent="0.2">
      <c r="A1076" s="360"/>
      <c r="B1076" s="361"/>
      <c r="C1076" s="361"/>
      <c r="D1076" s="361"/>
      <c r="E1076" s="361"/>
      <c r="F1076" s="361"/>
      <c r="G1076" s="363"/>
      <c r="H1076" s="364"/>
      <c r="I1076" s="363"/>
      <c r="J1076" s="363"/>
    </row>
    <row r="1077" spans="1:10" s="197" customFormat="1" x14ac:dyDescent="0.2">
      <c r="A1077" s="360"/>
      <c r="B1077" s="361"/>
      <c r="C1077" s="361"/>
      <c r="D1077" s="361"/>
      <c r="E1077" s="361"/>
      <c r="F1077" s="361"/>
      <c r="G1077" s="363"/>
      <c r="H1077" s="364"/>
      <c r="I1077" s="363"/>
      <c r="J1077" s="363"/>
    </row>
    <row r="1078" spans="1:10" s="197" customFormat="1" x14ac:dyDescent="0.2">
      <c r="A1078" s="360"/>
      <c r="B1078" s="361"/>
      <c r="C1078" s="361"/>
      <c r="D1078" s="361"/>
      <c r="E1078" s="361"/>
      <c r="F1078" s="361"/>
      <c r="G1078" s="363"/>
      <c r="H1078" s="364"/>
      <c r="I1078" s="363"/>
      <c r="J1078" s="363"/>
    </row>
  </sheetData>
  <mergeCells count="3">
    <mergeCell ref="E1:R1"/>
    <mergeCell ref="A3:R3"/>
    <mergeCell ref="I4:R4"/>
  </mergeCells>
  <pageMargins left="0.19685039370078741" right="0.11811023622047245" top="0.15748031496062992" bottom="0.15748031496062992" header="0" footer="0.19685039370078741"/>
  <pageSetup paperSize="9" scale="6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Лист1</vt:lpstr>
      <vt:lpstr>Лист2</vt:lpstr>
      <vt:lpstr>Лист3</vt:lpstr>
      <vt:lpstr>'1'!Заголовки_для_печати</vt:lpstr>
      <vt:lpstr>'2'!Заголовки_для_печати</vt:lpstr>
      <vt:lpstr>'3'!Заголовки_для_печати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2019-04-01T07:26:13Z</dcterms:modified>
</cp:coreProperties>
</file>